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na.cruz\Desktop\"/>
    </mc:Choice>
  </mc:AlternateContent>
  <xr:revisionPtr revIDLastSave="0" documentId="13_ncr:1_{10099997-9D9C-435B-B730-A7734A527E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MO - BM 15 CT" sheetId="3" r:id="rId1"/>
    <sheet name="Memória de Cálculo" sheetId="5" state="hidden" r:id="rId2"/>
    <sheet name="MEMORIA PAVIMENTAÇAO" sheetId="35" state="hidden" r:id="rId3"/>
    <sheet name="PLANILHA - BM 15 CT" sheetId="1" r:id="rId4"/>
    <sheet name="PAVIMENTAÇÃO  - BM 15 CT" sheetId="47" r:id="rId5"/>
    <sheet name="DRENAGEM SUPERFICIAL - BM 15 CT" sheetId="26" r:id="rId6"/>
    <sheet name="MOVIMENTAÇÃO DE TERRA 1" sheetId="31" state="hidden" r:id="rId7"/>
    <sheet name="AQUISIÇÃO DE BGS" sheetId="38" state="hidden" r:id="rId8"/>
    <sheet name=" DRENAGEM" sheetId="34" state="hidden" r:id="rId9"/>
    <sheet name="MOV.TERRA 218 A 259" sheetId="43" state="hidden" r:id="rId10"/>
    <sheet name="MOV.TERRA 292 A 307" sheetId="44" state="hidden" r:id="rId11"/>
    <sheet name="MOV. DE TERRA" sheetId="46" state="hidden" r:id="rId12"/>
    <sheet name="CALCULO ADM LOCAL - BM 15 CT" sheetId="15" r:id="rId13"/>
    <sheet name="BM 07 - 2° ADITIVO" sheetId="48" r:id="rId14"/>
    <sheet name="MOV. DE TERRA BM 07 - 2° ADITIV" sheetId="49" r:id="rId15"/>
    <sheet name="MOV. DE MATERIAL BM 07 - 2° ADI" sheetId="5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" hidden="1">#REF!</definedName>
    <definedName name="__123Graph_A" hidden="1">'[1]Cron Bas 2.10'!#REF!</definedName>
    <definedName name="_bar1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_Fill" hidden="1">#REF!</definedName>
    <definedName name="_xlnm._FilterDatabase" localSheetId="13" hidden="1">'BM 07 - 2° ADITIVO'!$A$7:$U$33</definedName>
    <definedName name="_xlnm._FilterDatabase" localSheetId="5" hidden="1">'DRENAGEM SUPERFICIAL - BM 15 CT'!$A$4:$K$86</definedName>
    <definedName name="_xlnm._FilterDatabase" localSheetId="1" hidden="1">'Memória de Cálculo'!$A$11:$H$208</definedName>
    <definedName name="_xlnm._FilterDatabase" localSheetId="3" hidden="1">'PLANILHA - BM 15 CT'!$A$11:$T$208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cumulado" localSheetId="8">#REF!</definedName>
    <definedName name="acumulado" localSheetId="12">#REF!</definedName>
    <definedName name="acumulado" localSheetId="2">#REF!</definedName>
    <definedName name="acumulado" localSheetId="14">#REF!</definedName>
    <definedName name="acumulado">#REF!</definedName>
    <definedName name="ACUMULADO2" localSheetId="8">#REF!</definedName>
    <definedName name="ACUMULADO2" localSheetId="14">#REF!</definedName>
    <definedName name="ACUMULADO2">#REF!</definedName>
    <definedName name="A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Aq_ASF" localSheetId="8">#REF!</definedName>
    <definedName name="Aq_ASF" localSheetId="12">#REF!</definedName>
    <definedName name="Aq_ASF" localSheetId="14">#REF!</definedName>
    <definedName name="Aq_ASF">#REF!</definedName>
    <definedName name="_xlnm.Print_Area" localSheetId="8">' DRENAGEM'!$A$1:$H$39</definedName>
    <definedName name="_xlnm.Print_Area" localSheetId="7">'AQUISIÇÃO DE BGS'!$A$1:$K$101</definedName>
    <definedName name="_xlnm.Print_Area" localSheetId="13">'BM 07 - 2° ADITIVO'!$A$1:$P$34</definedName>
    <definedName name="_xlnm.Print_Area" localSheetId="12">'CALCULO ADM LOCAL - BM 15 CT'!$A$1:$D$34</definedName>
    <definedName name="_xlnm.Print_Area" localSheetId="5">'DRENAGEM SUPERFICIAL - BM 15 CT'!$B$1:$K$106</definedName>
    <definedName name="_xlnm.Print_Area" localSheetId="1">'Memória de Cálculo'!$A$1:$H$209</definedName>
    <definedName name="_xlnm.Print_Area" localSheetId="2">'MEMORIA PAVIMENTAÇAO'!$A$1:$D$39</definedName>
    <definedName name="_xlnm.Print_Area" localSheetId="15">'MOV. DE MATERIAL BM 07 - 2° ADI'!$A$1:$J$26</definedName>
    <definedName name="_xlnm.Print_Area" localSheetId="6">'MOVIMENTAÇÃO DE TERRA 1'!$A$1:$J$109</definedName>
    <definedName name="_xlnm.Print_Area" localSheetId="4">'PAVIMENTAÇÃO  - BM 15 CT'!$A$1:$Q$79</definedName>
    <definedName name="_xlnm.Print_Area" localSheetId="3">'PLANILHA - BM 15 CT'!$A$1:$S$209</definedName>
    <definedName name="_xlnm.Print_Area" localSheetId="0">'RESUMO - BM 15 CT'!$A$1:$J$25</definedName>
    <definedName name="A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becalho" localSheetId="8">#REF!</definedName>
    <definedName name="Cabecalho" localSheetId="12">#REF!</definedName>
    <definedName name="Cabecalho" localSheetId="2">#REF!</definedName>
    <definedName name="Cabecalho" localSheetId="14">#REF!</definedName>
    <definedName name="Cabecalho">#REF!</definedName>
    <definedName name="CABEÇALHO2" localSheetId="8">#REF!</definedName>
    <definedName name="CABEÇALHO2" localSheetId="2">#REF!</definedName>
    <definedName name="CABEÇALHO2" localSheetId="14">#REF!</definedName>
    <definedName name="CABEÇALHO2">#REF!</definedName>
    <definedName name="Carga_SO" localSheetId="8">#REF!</definedName>
    <definedName name="Carga_SO" localSheetId="12">#REF!</definedName>
    <definedName name="Carga_SO" localSheetId="14">#REF!</definedName>
    <definedName name="Carga_SO">#REF!</definedName>
    <definedName name="CODENOME1" hidden="1">#N/A</definedName>
    <definedName name="concorrentes" hidden="1">{#N/A,#N/A,FALSE,"Cronograma";#N/A,#N/A,FALSE,"Cronogr. 2"}</definedName>
    <definedName name="database">[2]dez00!$F$1</definedName>
    <definedName name="descobrir" hidden="1">{#N/A,#N/A,FALSE,"Cronograma";#N/A,#N/A,FALSE,"Cronogr. 2"}</definedName>
    <definedName name="descobrir1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descobrir2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descobrir3" hidden="1">{#N/A,#N/A,FALSE,"Cronograma";#N/A,#N/A,FALSE,"Cronogr. 2"}</definedName>
    <definedName name="descobrir4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DESNIVEL" hidden="1">{#N/A,#N/A,FALSE,"RESUMO-BB1";#N/A,#N/A,FALSE,"MOD-A01-R - BB1";#N/A,#N/A,FALSE,"URB-BB1"}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dital" localSheetId="8">#REF!</definedName>
    <definedName name="edital" localSheetId="12">#REF!</definedName>
    <definedName name="edital" localSheetId="2">#REF!</definedName>
    <definedName name="edital" localSheetId="14">#REF!</definedName>
    <definedName name="edital">#REF!</definedName>
    <definedName name="EEE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F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quipamento">[2]EQUIPAMENTO!$A$1:$E$154</definedName>
    <definedName name="Equipe">#REF!</definedName>
    <definedName name="Equipe_Realizado">[3]Projetado!$L$6:$L$17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xtensao" localSheetId="8">#REF!</definedName>
    <definedName name="extensao" localSheetId="12">#REF!</definedName>
    <definedName name="extensao" localSheetId="2">#REF!</definedName>
    <definedName name="extensao" localSheetId="14">#REF!</definedName>
    <definedName name="extensao">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rma1" localSheetId="8">#REF!</definedName>
    <definedName name="firma1" localSheetId="12">#REF!</definedName>
    <definedName name="firma1" localSheetId="14">#REF!</definedName>
    <definedName name="firma1">#REF!</definedName>
    <definedName name="firma2" localSheetId="8">#REF!</definedName>
    <definedName name="firma2" localSheetId="12">#REF!</definedName>
    <definedName name="firma2" localSheetId="14">#REF!</definedName>
    <definedName name="firma2">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Grupo_total">[4]Instruções!#REF!</definedName>
    <definedName name="HM" localSheetId="8">#REF!</definedName>
    <definedName name="HM" localSheetId="12">#REF!</definedName>
    <definedName name="HM" localSheetId="14">#REF!</definedName>
    <definedName name="HM">#REF!</definedName>
    <definedName name="I" localSheetId="8">'[5]RESTAURAÇÃO '!#REF!</definedName>
    <definedName name="I" localSheetId="12">'[5]RESTAURAÇÃO '!#REF!</definedName>
    <definedName name="I" localSheetId="2">'[5]RESTAURAÇÃO '!#REF!</definedName>
    <definedName name="I" localSheetId="14">'[5]RESTAURAÇÃO '!#REF!</definedName>
    <definedName name="I">'[5]RESTAURAÇÃO '!#REF!</definedName>
    <definedName name="lote" localSheetId="8">#REF!</definedName>
    <definedName name="lote" localSheetId="12">#REF!</definedName>
    <definedName name="lote" localSheetId="2">#REF!</definedName>
    <definedName name="lote" localSheetId="14">#REF!</definedName>
    <definedName name="lote">#REF!</definedName>
    <definedName name="material">[2]Material!$A$3:$F$230</definedName>
    <definedName name="mes" localSheetId="8">#REF!</definedName>
    <definedName name="mes" localSheetId="12">#REF!</definedName>
    <definedName name="mes" localSheetId="2">#REF!</definedName>
    <definedName name="mes" localSheetId="14">#REF!</definedName>
    <definedName name="mes">#REF!</definedName>
    <definedName name="M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sumo2" localSheetId="8">#REF!</definedName>
    <definedName name="resumo2" localSheetId="12">#REF!</definedName>
    <definedName name="resumo2" localSheetId="14">#REF!</definedName>
    <definedName name="resumo2">#REF!</definedName>
    <definedName name="rodovia" localSheetId="8">#REF!</definedName>
    <definedName name="rodovia" localSheetId="12">#REF!</definedName>
    <definedName name="rodovia" localSheetId="14">#REF!</definedName>
    <definedName name="rodovia">#REF!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" localSheetId="8">#REF!</definedName>
    <definedName name="SD" localSheetId="12">#REF!</definedName>
    <definedName name="SD" localSheetId="14">#REF!</definedName>
    <definedName name="SD">#REF!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rvico">[2]dez00!$A$3:$F$134</definedName>
    <definedName name="SINALIZAÇÃO" localSheetId="8">#REF!</definedName>
    <definedName name="SINALIZAÇÃO" localSheetId="12">#REF!</definedName>
    <definedName name="SINALIZAÇÃO" localSheetId="2">#REF!</definedName>
    <definedName name="SINALIZAÇÃO" localSheetId="14">#REF!</definedName>
    <definedName name="SINALIZAÇÃO">#REF!</definedName>
    <definedName name="SO" localSheetId="8">#REF!</definedName>
    <definedName name="SO" localSheetId="12">#REF!</definedName>
    <definedName name="SO" localSheetId="14">#REF!</definedName>
    <definedName name="SO">#REF!</definedName>
    <definedName name="SP" localSheetId="8">#REF!</definedName>
    <definedName name="SP" localSheetId="12">#REF!</definedName>
    <definedName name="SP" localSheetId="14">#REF!</definedName>
    <definedName name="SP">#REF!</definedName>
    <definedName name="SS" hidden="1">[6]Plan4!#REF!</definedName>
    <definedName name="ST" localSheetId="8">#REF!</definedName>
    <definedName name="ST" localSheetId="12">#REF!</definedName>
    <definedName name="ST" localSheetId="14">#REF!</definedName>
    <definedName name="ST">#REF!</definedName>
    <definedName name="ST_HM" localSheetId="8">#REF!</definedName>
    <definedName name="ST_HM" localSheetId="12">#REF!</definedName>
    <definedName name="ST_HM" localSheetId="14">#REF!</definedName>
    <definedName name="ST_HM">#REF!</definedName>
    <definedName name="ST_SO" localSheetId="8">#REF!</definedName>
    <definedName name="ST_SO" localSheetId="12">#REF!</definedName>
    <definedName name="ST_SO" localSheetId="14">#REF!</definedName>
    <definedName name="ST_SO">#REF!</definedName>
    <definedName name="ST_SP" localSheetId="8">#REF!</definedName>
    <definedName name="ST_SP" localSheetId="12">#REF!</definedName>
    <definedName name="ST_SP" localSheetId="14">#REF!</definedName>
    <definedName name="ST_SP">#REF!</definedName>
    <definedName name="ST_ST" localSheetId="8">#REF!</definedName>
    <definedName name="ST_ST" localSheetId="12">#REF!</definedName>
    <definedName name="ST_ST" localSheetId="14">#REF!</definedName>
    <definedName name="ST_ST">#REF!</definedName>
    <definedName name="Sub_GERAL" localSheetId="8">#REF!</definedName>
    <definedName name="Sub_GERAL" localSheetId="12">#REF!</definedName>
    <definedName name="Sub_GERAL" localSheetId="14">#REF!</definedName>
    <definedName name="Sub_GERAL">#REF!</definedName>
    <definedName name="subtrecho" localSheetId="8">#REF!</definedName>
    <definedName name="subtrecho" localSheetId="12">#REF!</definedName>
    <definedName name="subtrecho" localSheetId="14">#REF!</definedName>
    <definedName name="subtrecho">#REF!</definedName>
    <definedName name="TABELA_SD" localSheetId="8">#REF!</definedName>
    <definedName name="TABELA_SD" localSheetId="12">#REF!</definedName>
    <definedName name="TABELA_SD" localSheetId="14">#REF!</definedName>
    <definedName name="TABELA_SD">#REF!</definedName>
    <definedName name="TABELA_SO" localSheetId="8">#REF!</definedName>
    <definedName name="TABELA_SO" localSheetId="12">#REF!</definedName>
    <definedName name="TABELA_SO" localSheetId="14">#REF!</definedName>
    <definedName name="TABELA_SO">#REF!</definedName>
    <definedName name="TABELA_SP" localSheetId="8">#REF!</definedName>
    <definedName name="TABELA_SP" localSheetId="12">#REF!</definedName>
    <definedName name="TABELA_SP" localSheetId="14">#REF!</definedName>
    <definedName name="TABELA_SP">#REF!</definedName>
    <definedName name="TABELA_ST" localSheetId="8">#REF!</definedName>
    <definedName name="TABELA_ST" localSheetId="12">#REF!</definedName>
    <definedName name="TABELA_ST" localSheetId="14">#REF!</definedName>
    <definedName name="TABELA_ST">#REF!</definedName>
    <definedName name="teste25" hidden="1">'[1]Cron Bas 2.10'!#REF!</definedName>
    <definedName name="_xlnm.Print_Titles" localSheetId="13">'BM 07 - 2° ADITIVO'!$1:$7</definedName>
    <definedName name="_xlnm.Print_Titles" localSheetId="1">'Memória de Cálculo'!$1:$11</definedName>
    <definedName name="_xlnm.Print_Titles" localSheetId="15">'MOV. DE MATERIAL BM 07 - 2° ADI'!$1:$2</definedName>
    <definedName name="_xlnm.Print_Titles" localSheetId="3">'PLANILHA - BM 15 CT'!$1:$11</definedName>
    <definedName name="Transporte_ASF" localSheetId="8">#REF!</definedName>
    <definedName name="Transporte_ASF" localSheetId="12">#REF!</definedName>
    <definedName name="Transporte_ASF" localSheetId="2">#REF!</definedName>
    <definedName name="Transporte_ASF" localSheetId="14">#REF!</definedName>
    <definedName name="Transporte_ASF">#REF!</definedName>
    <definedName name="Transporte_da_folha_anterior" localSheetId="8">#REF!</definedName>
    <definedName name="Transporte_da_folha_anterior" localSheetId="12">#REF!</definedName>
    <definedName name="Transporte_da_folha_anterior" localSheetId="14">#REF!</definedName>
    <definedName name="Transporte_da_folha_anterior">#REF!</definedName>
    <definedName name="transporte_massa" localSheetId="8">#REF!</definedName>
    <definedName name="transporte_massa" localSheetId="12">#REF!</definedName>
    <definedName name="transporte_massa" localSheetId="14">#REF!</definedName>
    <definedName name="transporte_massa">#REF!</definedName>
    <definedName name="Transporte_SO" localSheetId="8">#REF!</definedName>
    <definedName name="Transporte_SO" localSheetId="12">#REF!</definedName>
    <definedName name="Transporte_SO" localSheetId="14">#REF!</definedName>
    <definedName name="Transporte_SO">#REF!</definedName>
    <definedName name="Transporte_SP" localSheetId="8">#REF!</definedName>
    <definedName name="Transporte_SP" localSheetId="12">#REF!</definedName>
    <definedName name="Transporte_SP" localSheetId="14">#REF!</definedName>
    <definedName name="Transporte_SP">#REF!</definedName>
    <definedName name="Transportr_ST" localSheetId="8">#REF!</definedName>
    <definedName name="Transportr_ST" localSheetId="12">#REF!</definedName>
    <definedName name="Transportr_ST" localSheetId="14">#REF!</definedName>
    <definedName name="Transportr_ST">#REF!</definedName>
    <definedName name="trecho" localSheetId="8">#REF!</definedName>
    <definedName name="trecho" localSheetId="12">#REF!</definedName>
    <definedName name="trecho" localSheetId="14">#REF!</definedName>
    <definedName name="trecho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BB1." hidden="1">{#N/A,#N/A,FALSE,"RESUMO-BB1";#N/A,#N/A,FALSE,"MOD-A01-R - BB1";#N/A,#N/A,FALSE,"URB-BB1"}</definedName>
    <definedName name="wrn.BB2" hidden="1">{#N/A,#N/A,FALSE,"RESUMO-BB1";#N/A,#N/A,FALSE,"MOD-A01-R - BB1";#N/A,#N/A,FALSE,"URB-BB1"}</definedName>
    <definedName name="wrn.BETER." hidden="1">{#N/A,#N/A,FALSE,"BETER -1";#N/A,#N/A,FALSE,"BETER -2";#N/A,#N/A,FALSE,"BETER -3";#N/A,#N/A,FALSE,"BETER -urb";#N/A,#N/A,FALSE,"BETER -RESUMO"}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GERAL." hidden="1">{#N/A,#N/A,FALSE,"ET-CAPA";#N/A,#N/A,FALSE,"ET-PAG1";#N/A,#N/A,FALSE,"ET-PAG2";#N/A,#N/A,FALSE,"ET-PAG3";#N/A,#N/A,FALSE,"ET-PAG4";#N/A,#N/A,FALSE,"ET-PAG5"}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49" l="1"/>
  <c r="J4" i="50"/>
  <c r="J7" i="50" s="1"/>
  <c r="G21" i="48" s="1"/>
  <c r="J3" i="50"/>
  <c r="C107" i="49"/>
  <c r="B107" i="49"/>
  <c r="C106" i="49"/>
  <c r="B106" i="49"/>
  <c r="C105" i="49"/>
  <c r="B105" i="49"/>
  <c r="C104" i="49"/>
  <c r="B104" i="49"/>
  <c r="C103" i="49"/>
  <c r="B103" i="49"/>
  <c r="C102" i="49"/>
  <c r="B102" i="49"/>
  <c r="B100" i="49"/>
  <c r="B109" i="49" s="1"/>
  <c r="G40" i="49"/>
  <c r="C101" i="49" s="1"/>
  <c r="F40" i="49"/>
  <c r="B101" i="49" s="1"/>
  <c r="G5" i="49"/>
  <c r="G6" i="49" s="1"/>
  <c r="G7" i="49" s="1"/>
  <c r="G8" i="49" s="1"/>
  <c r="G9" i="49" s="1"/>
  <c r="G10" i="49" s="1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2" i="49" s="1"/>
  <c r="G23" i="49" s="1"/>
  <c r="G24" i="49" s="1"/>
  <c r="G25" i="49" s="1"/>
  <c r="G26" i="49" s="1"/>
  <c r="C100" i="49" s="1"/>
  <c r="Q32" i="48"/>
  <c r="M32" i="48"/>
  <c r="R32" i="48" s="1"/>
  <c r="L32" i="48"/>
  <c r="K32" i="48"/>
  <c r="S32" i="48" s="1"/>
  <c r="H32" i="48"/>
  <c r="N32" i="48" s="1"/>
  <c r="X32" i="48" s="1"/>
  <c r="Q31" i="48"/>
  <c r="P31" i="48"/>
  <c r="M31" i="48"/>
  <c r="R31" i="48" s="1"/>
  <c r="L31" i="48"/>
  <c r="L30" i="48" s="1"/>
  <c r="L25" i="48" s="1"/>
  <c r="K31" i="48"/>
  <c r="S31" i="48" s="1"/>
  <c r="H31" i="48"/>
  <c r="N31" i="48" s="1"/>
  <c r="Q30" i="48"/>
  <c r="M30" i="48"/>
  <c r="Q29" i="48"/>
  <c r="P29" i="48"/>
  <c r="M29" i="48"/>
  <c r="R29" i="48" s="1"/>
  <c r="L29" i="48"/>
  <c r="K29" i="48"/>
  <c r="S29" i="48" s="1"/>
  <c r="H29" i="48"/>
  <c r="N29" i="48" s="1"/>
  <c r="X29" i="48" s="1"/>
  <c r="Q28" i="48"/>
  <c r="M28" i="48"/>
  <c r="P28" i="48" s="1"/>
  <c r="L28" i="48"/>
  <c r="K28" i="48"/>
  <c r="S28" i="48" s="1"/>
  <c r="H28" i="48"/>
  <c r="N28" i="48" s="1"/>
  <c r="X28" i="48" s="1"/>
  <c r="R27" i="48"/>
  <c r="Q27" i="48"/>
  <c r="N27" i="48"/>
  <c r="X27" i="48" s="1"/>
  <c r="M27" i="48"/>
  <c r="P27" i="48" s="1"/>
  <c r="L27" i="48"/>
  <c r="K27" i="48"/>
  <c r="S27" i="48" s="1"/>
  <c r="I27" i="48"/>
  <c r="H27" i="48"/>
  <c r="W26" i="48"/>
  <c r="Q26" i="48"/>
  <c r="L26" i="48"/>
  <c r="K26" i="48"/>
  <c r="S26" i="48" s="1"/>
  <c r="W25" i="48"/>
  <c r="Q25" i="48"/>
  <c r="R24" i="48"/>
  <c r="Q24" i="48"/>
  <c r="N24" i="48"/>
  <c r="X24" i="48" s="1"/>
  <c r="M24" i="48"/>
  <c r="L24" i="48"/>
  <c r="K24" i="48"/>
  <c r="K23" i="48" s="1"/>
  <c r="I24" i="48"/>
  <c r="H24" i="48"/>
  <c r="Q23" i="48"/>
  <c r="M23" i="48"/>
  <c r="R23" i="48" s="1"/>
  <c r="L23" i="48"/>
  <c r="L22" i="48" s="1"/>
  <c r="Q22" i="48"/>
  <c r="L21" i="48"/>
  <c r="K21" i="48"/>
  <c r="L20" i="48"/>
  <c r="K20" i="48"/>
  <c r="R19" i="48"/>
  <c r="Q19" i="48"/>
  <c r="N19" i="48"/>
  <c r="X19" i="48" s="1"/>
  <c r="M19" i="48"/>
  <c r="P19" i="48" s="1"/>
  <c r="L19" i="48"/>
  <c r="K19" i="48"/>
  <c r="S19" i="48" s="1"/>
  <c r="I19" i="48"/>
  <c r="H19" i="48"/>
  <c r="L18" i="48"/>
  <c r="K18" i="48"/>
  <c r="L17" i="48"/>
  <c r="K17" i="48"/>
  <c r="Q16" i="48"/>
  <c r="M16" i="48"/>
  <c r="R16" i="48" s="1"/>
  <c r="L16" i="48"/>
  <c r="K16" i="48"/>
  <c r="S16" i="48" s="1"/>
  <c r="H16" i="48"/>
  <c r="N16" i="48" s="1"/>
  <c r="X16" i="48" s="1"/>
  <c r="Q15" i="48"/>
  <c r="P15" i="48"/>
  <c r="M15" i="48"/>
  <c r="R15" i="48" s="1"/>
  <c r="L15" i="48"/>
  <c r="L11" i="48" s="1"/>
  <c r="L10" i="48" s="1"/>
  <c r="K15" i="48"/>
  <c r="S15" i="48" s="1"/>
  <c r="H15" i="48"/>
  <c r="N15" i="48" s="1"/>
  <c r="X15" i="48" s="1"/>
  <c r="Q14" i="48"/>
  <c r="M14" i="48"/>
  <c r="P14" i="48" s="1"/>
  <c r="L14" i="48"/>
  <c r="K14" i="48"/>
  <c r="S14" i="48" s="1"/>
  <c r="H14" i="48"/>
  <c r="N14" i="48" s="1"/>
  <c r="X14" i="48" s="1"/>
  <c r="R13" i="48"/>
  <c r="Q13" i="48"/>
  <c r="N13" i="48"/>
  <c r="X13" i="48" s="1"/>
  <c r="M13" i="48"/>
  <c r="P13" i="48" s="1"/>
  <c r="L13" i="48"/>
  <c r="K13" i="48"/>
  <c r="S13" i="48" s="1"/>
  <c r="I13" i="48"/>
  <c r="H13" i="48"/>
  <c r="Q12" i="48"/>
  <c r="M12" i="48"/>
  <c r="R12" i="48" s="1"/>
  <c r="L12" i="48"/>
  <c r="K12" i="48"/>
  <c r="S12" i="48" s="1"/>
  <c r="H12" i="48"/>
  <c r="N12" i="48" s="1"/>
  <c r="K11" i="48"/>
  <c r="K10" i="48" s="1"/>
  <c r="T19" i="48" l="1"/>
  <c r="S23" i="48"/>
  <c r="P23" i="48"/>
  <c r="K22" i="48"/>
  <c r="S22" i="48" s="1"/>
  <c r="T22" i="48" s="1"/>
  <c r="C109" i="49"/>
  <c r="G17" i="48" s="1"/>
  <c r="T29" i="48"/>
  <c r="T31" i="48"/>
  <c r="T14" i="48"/>
  <c r="X12" i="48"/>
  <c r="L9" i="48"/>
  <c r="L33" i="48" s="1"/>
  <c r="L8" i="48" s="1"/>
  <c r="X31" i="48"/>
  <c r="N30" i="48"/>
  <c r="X30" i="48" s="1"/>
  <c r="Q21" i="48"/>
  <c r="S21" i="48" s="1"/>
  <c r="M21" i="48"/>
  <c r="H21" i="48"/>
  <c r="O12" i="48"/>
  <c r="O16" i="48"/>
  <c r="T16" i="48" s="1"/>
  <c r="O24" i="48"/>
  <c r="O23" i="48" s="1"/>
  <c r="O22" i="48" s="1"/>
  <c r="O32" i="48"/>
  <c r="T32" i="48" s="1"/>
  <c r="P12" i="48"/>
  <c r="O13" i="48"/>
  <c r="T13" i="48" s="1"/>
  <c r="I14" i="48"/>
  <c r="R14" i="48"/>
  <c r="P16" i="48"/>
  <c r="G18" i="48"/>
  <c r="O19" i="48"/>
  <c r="P24" i="48"/>
  <c r="M26" i="48"/>
  <c r="O27" i="48"/>
  <c r="I28" i="48"/>
  <c r="R28" i="48"/>
  <c r="R30" i="48"/>
  <c r="P32" i="48"/>
  <c r="J5" i="50"/>
  <c r="S24" i="48"/>
  <c r="T24" i="48" s="1"/>
  <c r="O14" i="48"/>
  <c r="I15" i="48"/>
  <c r="M22" i="48"/>
  <c r="N23" i="48"/>
  <c r="N26" i="48"/>
  <c r="O28" i="48"/>
  <c r="T28" i="48" s="1"/>
  <c r="I29" i="48"/>
  <c r="K30" i="48"/>
  <c r="I31" i="48"/>
  <c r="J6" i="50"/>
  <c r="G20" i="48" s="1"/>
  <c r="I12" i="48"/>
  <c r="O15" i="48"/>
  <c r="T15" i="48" s="1"/>
  <c r="I16" i="48"/>
  <c r="O29" i="48"/>
  <c r="O31" i="48"/>
  <c r="I32" i="48"/>
  <c r="R22" i="48" l="1"/>
  <c r="P22" i="48"/>
  <c r="Q20" i="48"/>
  <c r="S20" i="48" s="1"/>
  <c r="M20" i="48"/>
  <c r="H20" i="48"/>
  <c r="Q17" i="48"/>
  <c r="S17" i="48" s="1"/>
  <c r="H17" i="48"/>
  <c r="M17" i="48"/>
  <c r="O30" i="48"/>
  <c r="X26" i="48"/>
  <c r="N25" i="48"/>
  <c r="O26" i="48"/>
  <c r="I21" i="48"/>
  <c r="N21" i="48"/>
  <c r="T23" i="48"/>
  <c r="T12" i="48"/>
  <c r="K25" i="48"/>
  <c r="S25" i="48" s="1"/>
  <c r="S30" i="48"/>
  <c r="N22" i="48"/>
  <c r="X22" i="48" s="1"/>
  <c r="X23" i="48"/>
  <c r="R26" i="48"/>
  <c r="M25" i="48"/>
  <c r="P26" i="48"/>
  <c r="Q18" i="48"/>
  <c r="S18" i="48" s="1"/>
  <c r="M18" i="48"/>
  <c r="H18" i="48"/>
  <c r="P21" i="48"/>
  <c r="R21" i="48"/>
  <c r="P30" i="48"/>
  <c r="T27" i="48"/>
  <c r="K9" i="48"/>
  <c r="R18" i="48" l="1"/>
  <c r="P18" i="48"/>
  <c r="T25" i="48"/>
  <c r="O25" i="48"/>
  <c r="T26" i="48"/>
  <c r="P17" i="48"/>
  <c r="R17" i="48"/>
  <c r="M11" i="48"/>
  <c r="N20" i="48"/>
  <c r="I20" i="48"/>
  <c r="K33" i="48"/>
  <c r="K8" i="48" s="1"/>
  <c r="X25" i="48"/>
  <c r="N17" i="48"/>
  <c r="I17" i="48"/>
  <c r="R20" i="48"/>
  <c r="P20" i="48"/>
  <c r="N18" i="48"/>
  <c r="I18" i="48"/>
  <c r="R25" i="48"/>
  <c r="P25" i="48"/>
  <c r="T30" i="48"/>
  <c r="X21" i="48"/>
  <c r="O21" i="48"/>
  <c r="T21" i="48" s="1"/>
  <c r="X18" i="48" l="1"/>
  <c r="O18" i="48"/>
  <c r="T18" i="48" s="1"/>
  <c r="X17" i="48"/>
  <c r="N11" i="48"/>
  <c r="N10" i="48" s="1"/>
  <c r="N9" i="48" s="1"/>
  <c r="N33" i="48" s="1"/>
  <c r="N8" i="48" s="1"/>
  <c r="O17" i="48"/>
  <c r="X20" i="48"/>
  <c r="O20" i="48"/>
  <c r="T20" i="48" s="1"/>
  <c r="P11" i="48"/>
  <c r="M10" i="48"/>
  <c r="P10" i="48" l="1"/>
  <c r="M9" i="48"/>
  <c r="O11" i="48"/>
  <c r="O10" i="48" s="1"/>
  <c r="O9" i="48" s="1"/>
  <c r="O33" i="48" s="1"/>
  <c r="O8" i="48" s="1"/>
  <c r="T17" i="48"/>
  <c r="M33" i="48" l="1"/>
  <c r="P9" i="48"/>
  <c r="P33" i="48" l="1"/>
  <c r="M8" i="48"/>
  <c r="P8" i="48" s="1"/>
  <c r="G66" i="1" l="1"/>
  <c r="G70" i="1" l="1"/>
  <c r="G71" i="1" s="1"/>
  <c r="G69" i="1"/>
  <c r="G5" i="46" l="1"/>
  <c r="G6" i="46" s="1"/>
  <c r="G7" i="46" s="1"/>
  <c r="G8" i="46" s="1"/>
  <c r="G9" i="46" s="1"/>
  <c r="G10" i="46" s="1"/>
  <c r="G11" i="46" s="1"/>
  <c r="G12" i="46" s="1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G25" i="46" s="1"/>
  <c r="G26" i="46" s="1"/>
  <c r="C100" i="46" s="1"/>
  <c r="C107" i="46"/>
  <c r="B107" i="46"/>
  <c r="C106" i="46"/>
  <c r="B106" i="46"/>
  <c r="C105" i="46"/>
  <c r="B105" i="46"/>
  <c r="C104" i="46"/>
  <c r="B104" i="46"/>
  <c r="C103" i="46"/>
  <c r="B103" i="46"/>
  <c r="C102" i="46"/>
  <c r="B102" i="46"/>
  <c r="B100" i="46"/>
  <c r="G40" i="46"/>
  <c r="C101" i="46" s="1"/>
  <c r="F40" i="46"/>
  <c r="B101" i="46" s="1"/>
  <c r="C69" i="47" l="1"/>
  <c r="C68" i="47"/>
  <c r="C67" i="47"/>
  <c r="C66" i="47"/>
  <c r="C65" i="47"/>
  <c r="C64" i="47"/>
  <c r="G54" i="47"/>
  <c r="J54" i="47" s="1"/>
  <c r="K54" i="47" s="1"/>
  <c r="P54" i="47" s="1"/>
  <c r="G48" i="47"/>
  <c r="J48" i="47" s="1"/>
  <c r="K48" i="47" s="1"/>
  <c r="P48" i="47" s="1"/>
  <c r="G29" i="47"/>
  <c r="J29" i="47" s="1"/>
  <c r="G30" i="47"/>
  <c r="G36" i="47"/>
  <c r="J36" i="47"/>
  <c r="P36" i="47" s="1"/>
  <c r="G60" i="47"/>
  <c r="G59" i="47"/>
  <c r="G58" i="47"/>
  <c r="G56" i="47"/>
  <c r="J56" i="47" s="1"/>
  <c r="K56" i="47" s="1"/>
  <c r="P56" i="47" s="1"/>
  <c r="G55" i="47"/>
  <c r="G53" i="47"/>
  <c r="J53" i="47" s="1"/>
  <c r="K53" i="47" s="1"/>
  <c r="P53" i="47" s="1"/>
  <c r="G52" i="47"/>
  <c r="J52" i="47" s="1"/>
  <c r="K52" i="47" s="1"/>
  <c r="G50" i="47"/>
  <c r="J50" i="47" s="1"/>
  <c r="K50" i="47" s="1"/>
  <c r="P50" i="47" s="1"/>
  <c r="G49" i="47"/>
  <c r="G47" i="47"/>
  <c r="J47" i="47" s="1"/>
  <c r="K47" i="47" s="1"/>
  <c r="P47" i="47" s="1"/>
  <c r="G46" i="47"/>
  <c r="J46" i="47" s="1"/>
  <c r="K46" i="47" s="1"/>
  <c r="G44" i="47"/>
  <c r="J44" i="47" s="1"/>
  <c r="P44" i="47" s="1"/>
  <c r="P43" i="47"/>
  <c r="G43" i="47"/>
  <c r="G41" i="47"/>
  <c r="J41" i="47" s="1"/>
  <c r="P41" i="47" s="1"/>
  <c r="G40" i="47"/>
  <c r="J40" i="47" s="1"/>
  <c r="G38" i="47"/>
  <c r="J38" i="47" s="1"/>
  <c r="P38" i="47" s="1"/>
  <c r="G37" i="47"/>
  <c r="G35" i="47"/>
  <c r="J35" i="47" s="1"/>
  <c r="P35" i="47" s="1"/>
  <c r="G34" i="47"/>
  <c r="J34" i="47" s="1"/>
  <c r="P34" i="47" s="1"/>
  <c r="G31" i="47"/>
  <c r="J31" i="47" s="1"/>
  <c r="G28" i="47"/>
  <c r="J28" i="47" s="1"/>
  <c r="G27" i="47"/>
  <c r="J27" i="47" s="1"/>
  <c r="G25" i="47"/>
  <c r="J25" i="47" s="1"/>
  <c r="G24" i="47"/>
  <c r="J24" i="47" s="1"/>
  <c r="G19" i="47"/>
  <c r="J19" i="47" s="1"/>
  <c r="K19" i="47" s="1"/>
  <c r="G17" i="47"/>
  <c r="J17" i="47" s="1"/>
  <c r="K17" i="47" s="1"/>
  <c r="G16" i="47"/>
  <c r="J16" i="47" s="1"/>
  <c r="K16" i="47" s="1"/>
  <c r="G14" i="47"/>
  <c r="J14" i="47" s="1"/>
  <c r="K14" i="47" s="1"/>
  <c r="J13" i="47"/>
  <c r="J18" i="47" s="1"/>
  <c r="G12" i="47"/>
  <c r="J12" i="47" s="1"/>
  <c r="K12" i="47" s="1"/>
  <c r="M12" i="47" s="1"/>
  <c r="G11" i="47"/>
  <c r="J11" i="47" s="1"/>
  <c r="K11" i="47" s="1"/>
  <c r="G9" i="47"/>
  <c r="J9" i="47" s="1"/>
  <c r="J7" i="47"/>
  <c r="G6" i="47"/>
  <c r="J6" i="47" s="1"/>
  <c r="P40" i="47" l="1"/>
  <c r="G201" i="1" s="1"/>
  <c r="G150" i="1"/>
  <c r="P46" i="47"/>
  <c r="G152" i="1"/>
  <c r="G154" i="1" s="1"/>
  <c r="G155" i="1" s="1"/>
  <c r="Q5" i="47"/>
  <c r="Q57" i="47"/>
  <c r="G158" i="1" s="1"/>
  <c r="K13" i="47"/>
  <c r="Q13" i="47" s="1"/>
  <c r="Q23" i="47"/>
  <c r="G157" i="1" s="1"/>
  <c r="P52" i="47"/>
  <c r="Q14" i="47"/>
  <c r="M14" i="47"/>
  <c r="Q39" i="47"/>
  <c r="G205" i="1" s="1"/>
  <c r="Q11" i="47"/>
  <c r="M11" i="47"/>
  <c r="K18" i="47"/>
  <c r="Q15" i="47" s="1"/>
  <c r="Q12" i="47"/>
  <c r="C20" i="15"/>
  <c r="M13" i="47" l="1"/>
  <c r="M10" i="47" s="1"/>
  <c r="K10" i="47"/>
  <c r="Q26" i="47"/>
  <c r="D64" i="47" s="1"/>
  <c r="Q22" i="47"/>
  <c r="M22" i="47" s="1"/>
  <c r="Q21" i="47"/>
  <c r="M21" i="47" s="1"/>
  <c r="Q10" i="47"/>
  <c r="P37" i="47"/>
  <c r="Q33" i="47" s="1"/>
  <c r="D68" i="47" s="1"/>
  <c r="G200" i="1" s="1"/>
  <c r="K107" i="1"/>
  <c r="J55" i="47" l="1"/>
  <c r="K55" i="47" s="1"/>
  <c r="Q51" i="47" s="1"/>
  <c r="D65" i="47" s="1"/>
  <c r="K49" i="47"/>
  <c r="P49" i="47" s="1"/>
  <c r="Q45" i="47" s="1"/>
  <c r="C109" i="46"/>
  <c r="R15" i="26"/>
  <c r="O15" i="26"/>
  <c r="N15" i="26"/>
  <c r="M15" i="26"/>
  <c r="R14" i="26"/>
  <c r="R5" i="26"/>
  <c r="I52" i="26"/>
  <c r="I53" i="26"/>
  <c r="I54" i="26"/>
  <c r="I55" i="26"/>
  <c r="I56" i="26"/>
  <c r="I57" i="26"/>
  <c r="I58" i="26"/>
  <c r="I51" i="26"/>
  <c r="M5" i="26"/>
  <c r="N5" i="26"/>
  <c r="O5" i="26"/>
  <c r="M6" i="26"/>
  <c r="N6" i="26"/>
  <c r="O6" i="26"/>
  <c r="M7" i="26"/>
  <c r="N7" i="26"/>
  <c r="O7" i="26"/>
  <c r="M8" i="26"/>
  <c r="N8" i="26"/>
  <c r="O8" i="26"/>
  <c r="M9" i="26"/>
  <c r="N9" i="26"/>
  <c r="O9" i="26"/>
  <c r="M10" i="26"/>
  <c r="N10" i="26"/>
  <c r="O10" i="26"/>
  <c r="M11" i="26"/>
  <c r="N11" i="26"/>
  <c r="O11" i="26"/>
  <c r="M12" i="26"/>
  <c r="N12" i="26"/>
  <c r="O12" i="26"/>
  <c r="M13" i="26"/>
  <c r="N13" i="26"/>
  <c r="O13" i="26"/>
  <c r="M14" i="26"/>
  <c r="N14" i="26"/>
  <c r="O14" i="26"/>
  <c r="D69" i="47" l="1"/>
  <c r="G202" i="1"/>
  <c r="D66" i="47"/>
  <c r="B109" i="46"/>
  <c r="P55" i="47"/>
  <c r="P8" i="26"/>
  <c r="Q8" i="26" s="1"/>
  <c r="I4" i="26"/>
  <c r="G81" i="1" s="1"/>
  <c r="P12" i="26"/>
  <c r="Q12" i="26" s="1"/>
  <c r="P5" i="26"/>
  <c r="Q5" i="26" s="1"/>
  <c r="P11" i="26"/>
  <c r="Q11" i="26" s="1"/>
  <c r="P7" i="26"/>
  <c r="Q7" i="26" s="1"/>
  <c r="P9" i="26"/>
  <c r="Q9" i="26" s="1"/>
  <c r="P6" i="26"/>
  <c r="Q6" i="26" s="1"/>
  <c r="P13" i="26"/>
  <c r="Q13" i="26" s="1"/>
  <c r="P10" i="26"/>
  <c r="Q10" i="26" s="1"/>
  <c r="P14" i="26"/>
  <c r="Q14" i="26" s="1"/>
  <c r="D67" i="47" l="1"/>
  <c r="G37" i="44"/>
  <c r="F37" i="44"/>
  <c r="G36" i="44"/>
  <c r="F36" i="44"/>
  <c r="G35" i="44"/>
  <c r="F35" i="44"/>
  <c r="G34" i="44"/>
  <c r="F34" i="44"/>
  <c r="G33" i="44"/>
  <c r="F33" i="44"/>
  <c r="G32" i="44"/>
  <c r="F32" i="44"/>
  <c r="G31" i="44"/>
  <c r="F31" i="44"/>
  <c r="G30" i="44"/>
  <c r="F30" i="44"/>
  <c r="G29" i="44"/>
  <c r="F29" i="44"/>
  <c r="G28" i="44"/>
  <c r="F28" i="44"/>
  <c r="G27" i="44"/>
  <c r="F27" i="44"/>
  <c r="G26" i="44"/>
  <c r="F26" i="44"/>
  <c r="G25" i="44"/>
  <c r="F25" i="44"/>
  <c r="G24" i="44"/>
  <c r="F24" i="44"/>
  <c r="G23" i="44"/>
  <c r="F23" i="44"/>
  <c r="G22" i="44"/>
  <c r="F22" i="44"/>
  <c r="G21" i="44"/>
  <c r="F21" i="44"/>
  <c r="G20" i="44"/>
  <c r="F20" i="44"/>
  <c r="G19" i="44"/>
  <c r="F19" i="44"/>
  <c r="G18" i="44"/>
  <c r="F18" i="44"/>
  <c r="G17" i="44"/>
  <c r="F17" i="44"/>
  <c r="G16" i="44"/>
  <c r="F16" i="44"/>
  <c r="G15" i="44"/>
  <c r="F15" i="44"/>
  <c r="G14" i="44"/>
  <c r="F14" i="44"/>
  <c r="G13" i="44"/>
  <c r="F13" i="44"/>
  <c r="G12" i="44"/>
  <c r="F12" i="44"/>
  <c r="G11" i="44"/>
  <c r="F11" i="44"/>
  <c r="G10" i="44"/>
  <c r="F10" i="44"/>
  <c r="G9" i="44"/>
  <c r="F9" i="44"/>
  <c r="G8" i="44"/>
  <c r="F8" i="44"/>
  <c r="G7" i="44"/>
  <c r="I7" i="44" s="1"/>
  <c r="F7" i="44"/>
  <c r="H7" i="44" s="1"/>
  <c r="H8" i="44" l="1"/>
  <c r="H9" i="44" s="1"/>
  <c r="H10" i="44" s="1"/>
  <c r="H11" i="44" s="1"/>
  <c r="H12" i="44" s="1"/>
  <c r="H13" i="44" s="1"/>
  <c r="H14" i="44" s="1"/>
  <c r="H15" i="44" s="1"/>
  <c r="H16" i="44" s="1"/>
  <c r="H17" i="44" s="1"/>
  <c r="H18" i="44" s="1"/>
  <c r="H19" i="44" s="1"/>
  <c r="H20" i="44" s="1"/>
  <c r="H21" i="44" s="1"/>
  <c r="H22" i="44" s="1"/>
  <c r="H23" i="44" s="1"/>
  <c r="H24" i="44" s="1"/>
  <c r="H25" i="44" s="1"/>
  <c r="H26" i="44" s="1"/>
  <c r="H27" i="44" s="1"/>
  <c r="H28" i="44" s="1"/>
  <c r="H29" i="44" s="1"/>
  <c r="H30" i="44" s="1"/>
  <c r="H31" i="44" s="1"/>
  <c r="H32" i="44" s="1"/>
  <c r="H33" i="44" s="1"/>
  <c r="H34" i="44" s="1"/>
  <c r="H35" i="44" s="1"/>
  <c r="H36" i="44" s="1"/>
  <c r="H37" i="44" s="1"/>
  <c r="H38" i="44" s="1"/>
  <c r="I8" i="44"/>
  <c r="I9" i="44" s="1"/>
  <c r="I10" i="44" s="1"/>
  <c r="I11" i="44" s="1"/>
  <c r="I12" i="44" s="1"/>
  <c r="I13" i="44" s="1"/>
  <c r="I14" i="44" s="1"/>
  <c r="I15" i="44" s="1"/>
  <c r="I16" i="44" s="1"/>
  <c r="I17" i="44" s="1"/>
  <c r="I18" i="44" s="1"/>
  <c r="I19" i="44" s="1"/>
  <c r="I20" i="44" s="1"/>
  <c r="I21" i="44" s="1"/>
  <c r="I22" i="44" s="1"/>
  <c r="I23" i="44" s="1"/>
  <c r="I24" i="44" s="1"/>
  <c r="I25" i="44" s="1"/>
  <c r="I26" i="44" s="1"/>
  <c r="I27" i="44" s="1"/>
  <c r="I28" i="44" s="1"/>
  <c r="I29" i="44" s="1"/>
  <c r="I30" i="44" s="1"/>
  <c r="I31" i="44" s="1"/>
  <c r="I32" i="44" s="1"/>
  <c r="I33" i="44" s="1"/>
  <c r="I34" i="44" s="1"/>
  <c r="I35" i="44" s="1"/>
  <c r="I36" i="44" s="1"/>
  <c r="I37" i="44" s="1"/>
  <c r="I39" i="44" s="1"/>
  <c r="G89" i="43" l="1"/>
  <c r="F89" i="43"/>
  <c r="G88" i="43"/>
  <c r="F88" i="43"/>
  <c r="G87" i="43"/>
  <c r="F87" i="43"/>
  <c r="G86" i="43"/>
  <c r="F86" i="43"/>
  <c r="G85" i="43"/>
  <c r="F85" i="43"/>
  <c r="G84" i="43"/>
  <c r="F84" i="43"/>
  <c r="G83" i="43"/>
  <c r="F83" i="43"/>
  <c r="G82" i="43"/>
  <c r="F82" i="43"/>
  <c r="G81" i="43"/>
  <c r="F81" i="43"/>
  <c r="G80" i="43"/>
  <c r="F80" i="43"/>
  <c r="G79" i="43"/>
  <c r="F79" i="43"/>
  <c r="G78" i="43"/>
  <c r="F78" i="43"/>
  <c r="G77" i="43"/>
  <c r="F77" i="43"/>
  <c r="G76" i="43"/>
  <c r="F76" i="43"/>
  <c r="G75" i="43"/>
  <c r="F75" i="43"/>
  <c r="G74" i="43"/>
  <c r="F74" i="43"/>
  <c r="G73" i="43"/>
  <c r="F73" i="43"/>
  <c r="G72" i="43"/>
  <c r="F72" i="43"/>
  <c r="G71" i="43"/>
  <c r="F71" i="43"/>
  <c r="G70" i="43"/>
  <c r="F70" i="43"/>
  <c r="G69" i="43"/>
  <c r="F69" i="43"/>
  <c r="G68" i="43"/>
  <c r="F68" i="43"/>
  <c r="G67" i="43"/>
  <c r="F67" i="43"/>
  <c r="G66" i="43"/>
  <c r="F66" i="43"/>
  <c r="G65" i="43"/>
  <c r="F65" i="43"/>
  <c r="G64" i="43"/>
  <c r="F64" i="43"/>
  <c r="G63" i="43"/>
  <c r="F63" i="43"/>
  <c r="G62" i="43"/>
  <c r="F62" i="43"/>
  <c r="G61" i="43"/>
  <c r="F61" i="43"/>
  <c r="G60" i="43"/>
  <c r="F60" i="43"/>
  <c r="G59" i="43"/>
  <c r="F59" i="43"/>
  <c r="G58" i="43"/>
  <c r="F58" i="43"/>
  <c r="G57" i="43"/>
  <c r="F57" i="43"/>
  <c r="G56" i="43"/>
  <c r="F56" i="43"/>
  <c r="G55" i="43"/>
  <c r="F55" i="43"/>
  <c r="G54" i="43"/>
  <c r="F54" i="43"/>
  <c r="G53" i="43"/>
  <c r="F53" i="43"/>
  <c r="G52" i="43"/>
  <c r="F52" i="43"/>
  <c r="G51" i="43"/>
  <c r="F51" i="43"/>
  <c r="G50" i="43"/>
  <c r="F50" i="43"/>
  <c r="G49" i="43"/>
  <c r="F49" i="43"/>
  <c r="G48" i="43"/>
  <c r="F48" i="43"/>
  <c r="G47" i="43"/>
  <c r="F47" i="43"/>
  <c r="G46" i="43"/>
  <c r="F46" i="43"/>
  <c r="G45" i="43"/>
  <c r="F45" i="43"/>
  <c r="G44" i="43"/>
  <c r="F44" i="43"/>
  <c r="G43" i="43"/>
  <c r="F43" i="43"/>
  <c r="G42" i="43"/>
  <c r="F42" i="43"/>
  <c r="G41" i="43"/>
  <c r="F41" i="43"/>
  <c r="G40" i="43"/>
  <c r="F40" i="43"/>
  <c r="G39" i="43"/>
  <c r="F39" i="43"/>
  <c r="G38" i="43"/>
  <c r="F38" i="43"/>
  <c r="G37" i="43"/>
  <c r="F37" i="43"/>
  <c r="G36" i="43"/>
  <c r="F36" i="43"/>
  <c r="G35" i="43"/>
  <c r="F35" i="43"/>
  <c r="G34" i="43"/>
  <c r="F34" i="43"/>
  <c r="G33" i="43"/>
  <c r="F33" i="43"/>
  <c r="G32" i="43"/>
  <c r="F32" i="43"/>
  <c r="G31" i="43"/>
  <c r="F31" i="43"/>
  <c r="G30" i="43"/>
  <c r="F30" i="43"/>
  <c r="G29" i="43"/>
  <c r="F29" i="43"/>
  <c r="G28" i="43"/>
  <c r="F28" i="43"/>
  <c r="G27" i="43"/>
  <c r="F27" i="43"/>
  <c r="G26" i="43"/>
  <c r="F26" i="43"/>
  <c r="G25" i="43"/>
  <c r="F25" i="43"/>
  <c r="G24" i="43"/>
  <c r="F24" i="43"/>
  <c r="G23" i="43"/>
  <c r="F23" i="43"/>
  <c r="G22" i="43"/>
  <c r="F22" i="43"/>
  <c r="G21" i="43"/>
  <c r="F21" i="43"/>
  <c r="G20" i="43"/>
  <c r="F20" i="43"/>
  <c r="G19" i="43"/>
  <c r="F19" i="43"/>
  <c r="G18" i="43"/>
  <c r="F18" i="43"/>
  <c r="G17" i="43"/>
  <c r="F17" i="43"/>
  <c r="G16" i="43"/>
  <c r="F16" i="43"/>
  <c r="G15" i="43"/>
  <c r="F15" i="43"/>
  <c r="G14" i="43"/>
  <c r="F14" i="43"/>
  <c r="G13" i="43"/>
  <c r="F13" i="43"/>
  <c r="G12" i="43"/>
  <c r="F12" i="43"/>
  <c r="G11" i="43"/>
  <c r="F11" i="43"/>
  <c r="G10" i="43"/>
  <c r="F10" i="43"/>
  <c r="G9" i="43"/>
  <c r="F9" i="43"/>
  <c r="G8" i="43"/>
  <c r="F8" i="43"/>
  <c r="G7" i="43"/>
  <c r="I7" i="43" s="1"/>
  <c r="F7" i="43"/>
  <c r="H7" i="43" s="1"/>
  <c r="H8" i="43" l="1"/>
  <c r="H9" i="43" s="1"/>
  <c r="H10" i="43" s="1"/>
  <c r="H11" i="43" s="1"/>
  <c r="H12" i="43" s="1"/>
  <c r="H13" i="43" s="1"/>
  <c r="H14" i="43" s="1"/>
  <c r="H15" i="43" s="1"/>
  <c r="H16" i="43" s="1"/>
  <c r="H17" i="43" s="1"/>
  <c r="H18" i="43" s="1"/>
  <c r="H19" i="43" s="1"/>
  <c r="H20" i="43" s="1"/>
  <c r="H21" i="43" s="1"/>
  <c r="H22" i="43" s="1"/>
  <c r="H23" i="43" s="1"/>
  <c r="H24" i="43" s="1"/>
  <c r="H25" i="43" s="1"/>
  <c r="H26" i="43" s="1"/>
  <c r="H27" i="43" s="1"/>
  <c r="H28" i="43" s="1"/>
  <c r="H29" i="43" s="1"/>
  <c r="H30" i="43" s="1"/>
  <c r="H31" i="43" s="1"/>
  <c r="H32" i="43" s="1"/>
  <c r="H33" i="43" s="1"/>
  <c r="H34" i="43" s="1"/>
  <c r="H35" i="43" s="1"/>
  <c r="H36" i="43" s="1"/>
  <c r="H37" i="43" s="1"/>
  <c r="H38" i="43" s="1"/>
  <c r="H39" i="43" s="1"/>
  <c r="H40" i="43" s="1"/>
  <c r="H41" i="43" s="1"/>
  <c r="H42" i="43" s="1"/>
  <c r="H43" i="43" s="1"/>
  <c r="H44" i="43" s="1"/>
  <c r="H45" i="43" s="1"/>
  <c r="H46" i="43" s="1"/>
  <c r="H47" i="43" s="1"/>
  <c r="H48" i="43" s="1"/>
  <c r="H49" i="43" s="1"/>
  <c r="H50" i="43" s="1"/>
  <c r="H51" i="43" s="1"/>
  <c r="H52" i="43" s="1"/>
  <c r="H53" i="43" s="1"/>
  <c r="H54" i="43" s="1"/>
  <c r="H55" i="43" s="1"/>
  <c r="H56" i="43" s="1"/>
  <c r="H57" i="43" s="1"/>
  <c r="H58" i="43" s="1"/>
  <c r="H59" i="43" s="1"/>
  <c r="H60" i="43" s="1"/>
  <c r="H61" i="43" s="1"/>
  <c r="H62" i="43" s="1"/>
  <c r="H63" i="43" s="1"/>
  <c r="H64" i="43" s="1"/>
  <c r="H65" i="43" s="1"/>
  <c r="H66" i="43" s="1"/>
  <c r="H67" i="43" s="1"/>
  <c r="H68" i="43" s="1"/>
  <c r="H69" i="43" s="1"/>
  <c r="H70" i="43" s="1"/>
  <c r="H71" i="43" s="1"/>
  <c r="H72" i="43" s="1"/>
  <c r="H73" i="43" s="1"/>
  <c r="H74" i="43" s="1"/>
  <c r="H75" i="43" s="1"/>
  <c r="H76" i="43" s="1"/>
  <c r="H77" i="43" s="1"/>
  <c r="H78" i="43" s="1"/>
  <c r="H79" i="43" s="1"/>
  <c r="H80" i="43" s="1"/>
  <c r="H81" i="43" s="1"/>
  <c r="H82" i="43" s="1"/>
  <c r="H83" i="43" s="1"/>
  <c r="H84" i="43" s="1"/>
  <c r="H85" i="43" s="1"/>
  <c r="H86" i="43" s="1"/>
  <c r="H87" i="43" s="1"/>
  <c r="H88" i="43" s="1"/>
  <c r="H89" i="43" s="1"/>
  <c r="H90" i="43" s="1"/>
  <c r="I8" i="43"/>
  <c r="I9" i="43" s="1"/>
  <c r="I10" i="43"/>
  <c r="I11" i="43" s="1"/>
  <c r="I12" i="43" s="1"/>
  <c r="I13" i="43" s="1"/>
  <c r="I14" i="43" s="1"/>
  <c r="I15" i="43" s="1"/>
  <c r="I16" i="43" s="1"/>
  <c r="I17" i="43" s="1"/>
  <c r="I18" i="43" s="1"/>
  <c r="I19" i="43" s="1"/>
  <c r="I20" i="43" s="1"/>
  <c r="I21" i="43" s="1"/>
  <c r="I22" i="43" s="1"/>
  <c r="I23" i="43" s="1"/>
  <c r="I24" i="43" s="1"/>
  <c r="I25" i="43" s="1"/>
  <c r="I26" i="43" s="1"/>
  <c r="I27" i="43" s="1"/>
  <c r="I28" i="43" s="1"/>
  <c r="I29" i="43" s="1"/>
  <c r="I30" i="43" s="1"/>
  <c r="I31" i="43" s="1"/>
  <c r="I32" i="43" s="1"/>
  <c r="I33" i="43" s="1"/>
  <c r="I34" i="43" s="1"/>
  <c r="I35" i="43" s="1"/>
  <c r="I36" i="43" s="1"/>
  <c r="I37" i="43" s="1"/>
  <c r="I38" i="43" s="1"/>
  <c r="I39" i="43" s="1"/>
  <c r="I40" i="43" s="1"/>
  <c r="I41" i="43" s="1"/>
  <c r="I42" i="43" s="1"/>
  <c r="I43" i="43" s="1"/>
  <c r="I44" i="43" s="1"/>
  <c r="I45" i="43" s="1"/>
  <c r="I46" i="43" s="1"/>
  <c r="I47" i="43" s="1"/>
  <c r="I48" i="43" s="1"/>
  <c r="I49" i="43" s="1"/>
  <c r="I50" i="43" s="1"/>
  <c r="I51" i="43" s="1"/>
  <c r="I52" i="43" s="1"/>
  <c r="I53" i="43" s="1"/>
  <c r="I54" i="43" s="1"/>
  <c r="I55" i="43" s="1"/>
  <c r="I56" i="43" s="1"/>
  <c r="I57" i="43" s="1"/>
  <c r="I58" i="43" s="1"/>
  <c r="I59" i="43" s="1"/>
  <c r="I60" i="43" s="1"/>
  <c r="I61" i="43" s="1"/>
  <c r="I62" i="43" s="1"/>
  <c r="I63" i="43" s="1"/>
  <c r="I64" i="43" s="1"/>
  <c r="I65" i="43" s="1"/>
  <c r="I66" i="43" s="1"/>
  <c r="I67" i="43" s="1"/>
  <c r="I68" i="43" s="1"/>
  <c r="I69" i="43" s="1"/>
  <c r="I70" i="43" s="1"/>
  <c r="I71" i="43" s="1"/>
  <c r="I72" i="43" s="1"/>
  <c r="I73" i="43" s="1"/>
  <c r="I74" i="43" s="1"/>
  <c r="I75" i="43" s="1"/>
  <c r="I76" i="43" s="1"/>
  <c r="I77" i="43" s="1"/>
  <c r="I78" i="43" s="1"/>
  <c r="I79" i="43" s="1"/>
  <c r="I80" i="43" s="1"/>
  <c r="I81" i="43" s="1"/>
  <c r="I82" i="43" s="1"/>
  <c r="I83" i="43" s="1"/>
  <c r="I84" i="43" s="1"/>
  <c r="I85" i="43" s="1"/>
  <c r="I86" i="43" s="1"/>
  <c r="I87" i="43" s="1"/>
  <c r="I88" i="43" s="1"/>
  <c r="I89" i="43" s="1"/>
  <c r="I91" i="43" s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G206" i="1" l="1"/>
  <c r="G204" i="1" l="1"/>
  <c r="D7" i="15" l="1"/>
  <c r="C23" i="35" l="1"/>
  <c r="C22" i="35"/>
  <c r="B16" i="35"/>
  <c r="B17" i="35" s="1"/>
  <c r="B18" i="35" s="1"/>
  <c r="B15" i="35"/>
  <c r="B29" i="35" s="1"/>
  <c r="D9" i="35"/>
  <c r="J94" i="38"/>
  <c r="B97" i="38" s="1"/>
  <c r="B28" i="35" s="1"/>
  <c r="B96" i="38" l="1"/>
  <c r="B27" i="35" s="1"/>
  <c r="J88" i="31"/>
  <c r="F8" i="34" l="1"/>
  <c r="F9" i="34" l="1"/>
  <c r="J87" i="31" l="1"/>
  <c r="E104" i="31" s="1"/>
  <c r="F104" i="31" s="1"/>
  <c r="E101" i="31"/>
  <c r="E100" i="31"/>
  <c r="E99" i="31"/>
  <c r="E98" i="31"/>
  <c r="E97" i="31"/>
  <c r="E96" i="31"/>
  <c r="E95" i="31"/>
  <c r="E94" i="31"/>
  <c r="E102" i="31" l="1"/>
  <c r="C14" i="15" l="1"/>
  <c r="C15" i="15" s="1"/>
  <c r="H17" i="1" l="1"/>
  <c r="F8" i="5"/>
  <c r="F9" i="5"/>
  <c r="G67" i="5"/>
  <c r="G66" i="5"/>
  <c r="G105" i="5"/>
  <c r="G106" i="5"/>
  <c r="G133" i="5"/>
  <c r="G132" i="5"/>
  <c r="J48" i="5"/>
  <c r="J47" i="5"/>
  <c r="G47" i="5" s="1"/>
  <c r="J46" i="5"/>
  <c r="J45" i="5"/>
  <c r="G45" i="5" s="1"/>
  <c r="J44" i="5"/>
  <c r="G44" i="5" s="1"/>
  <c r="J43" i="5"/>
  <c r="G43" i="5" s="1"/>
  <c r="J42" i="5"/>
  <c r="G42" i="5" s="1"/>
  <c r="J41" i="5"/>
  <c r="G41" i="5" s="1"/>
  <c r="J40" i="5"/>
  <c r="J39" i="5"/>
  <c r="G39" i="5" s="1"/>
  <c r="J38" i="5"/>
  <c r="G38" i="5" s="1"/>
  <c r="J37" i="5"/>
  <c r="G37" i="5" s="1"/>
  <c r="J36" i="5"/>
  <c r="G36" i="5" s="1"/>
  <c r="J35" i="5"/>
  <c r="G35" i="5" s="1"/>
  <c r="J34" i="5"/>
  <c r="J33" i="5"/>
  <c r="G33" i="5" s="1"/>
  <c r="J32" i="5"/>
  <c r="J31" i="5"/>
  <c r="G31" i="5" s="1"/>
  <c r="J30" i="5"/>
  <c r="G30" i="5" s="1"/>
  <c r="J29" i="5"/>
  <c r="G29" i="5" s="1"/>
  <c r="J28" i="5"/>
  <c r="G28" i="5" s="1"/>
  <c r="J27" i="5"/>
  <c r="J26" i="5"/>
  <c r="G26" i="5" s="1"/>
  <c r="J25" i="5"/>
  <c r="G25" i="5"/>
  <c r="G48" i="5"/>
  <c r="V25" i="1"/>
  <c r="K53" i="1"/>
  <c r="G69" i="5" l="1"/>
  <c r="V41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2" i="1"/>
  <c r="V43" i="1"/>
  <c r="V44" i="1"/>
  <c r="V45" i="1"/>
  <c r="V46" i="1"/>
  <c r="V47" i="1"/>
  <c r="H47" i="1" s="1"/>
  <c r="V48" i="1"/>
  <c r="H48" i="1" s="1"/>
  <c r="V26" i="1"/>
  <c r="B22" i="3" l="1"/>
  <c r="A22" i="3"/>
  <c r="H205" i="1"/>
  <c r="I205" i="1" s="1"/>
  <c r="P205" i="1" s="1"/>
  <c r="H206" i="1"/>
  <c r="I206" i="1" s="1"/>
  <c r="P206" i="1" s="1"/>
  <c r="H204" i="1"/>
  <c r="I204" i="1" s="1"/>
  <c r="P204" i="1" s="1"/>
  <c r="L205" i="1"/>
  <c r="M205" i="1"/>
  <c r="N205" i="1"/>
  <c r="Q205" i="1" s="1"/>
  <c r="L206" i="1"/>
  <c r="M206" i="1"/>
  <c r="N206" i="1"/>
  <c r="N204" i="1"/>
  <c r="M204" i="1"/>
  <c r="L204" i="1"/>
  <c r="N201" i="1"/>
  <c r="N202" i="1"/>
  <c r="N200" i="1"/>
  <c r="M201" i="1"/>
  <c r="M202" i="1"/>
  <c r="M200" i="1"/>
  <c r="H201" i="1"/>
  <c r="I201" i="1" s="1"/>
  <c r="P201" i="1" s="1"/>
  <c r="H202" i="1"/>
  <c r="O202" i="1" s="1"/>
  <c r="H200" i="1"/>
  <c r="O200" i="1" s="1"/>
  <c r="L201" i="1"/>
  <c r="L202" i="1"/>
  <c r="L200" i="1"/>
  <c r="Y200" i="1" l="1"/>
  <c r="Y202" i="1"/>
  <c r="S204" i="1"/>
  <c r="Q204" i="1"/>
  <c r="S205" i="1"/>
  <c r="Q202" i="1"/>
  <c r="M199" i="1"/>
  <c r="R200" i="1"/>
  <c r="Q201" i="1"/>
  <c r="R202" i="1"/>
  <c r="L203" i="1"/>
  <c r="S201" i="1"/>
  <c r="S206" i="1"/>
  <c r="Q206" i="1"/>
  <c r="Q200" i="1"/>
  <c r="I191" i="5"/>
  <c r="M203" i="1"/>
  <c r="N199" i="1"/>
  <c r="O204" i="1"/>
  <c r="O201" i="1"/>
  <c r="O205" i="1"/>
  <c r="N203" i="1"/>
  <c r="P203" i="1"/>
  <c r="L199" i="1"/>
  <c r="O206" i="1"/>
  <c r="I200" i="1"/>
  <c r="P200" i="1" s="1"/>
  <c r="S200" i="1" s="1"/>
  <c r="I202" i="1"/>
  <c r="P202" i="1" s="1"/>
  <c r="S202" i="1" s="1"/>
  <c r="R205" i="1" l="1"/>
  <c r="Y205" i="1"/>
  <c r="R206" i="1"/>
  <c r="Y206" i="1"/>
  <c r="R201" i="1"/>
  <c r="Y201" i="1"/>
  <c r="R204" i="1"/>
  <c r="Y204" i="1"/>
  <c r="L198" i="1"/>
  <c r="C22" i="3" s="1"/>
  <c r="S203" i="1"/>
  <c r="Q199" i="1"/>
  <c r="M198" i="1"/>
  <c r="D22" i="3" s="1"/>
  <c r="N198" i="1"/>
  <c r="E22" i="3" s="1"/>
  <c r="H22" i="3" s="1"/>
  <c r="Q203" i="1"/>
  <c r="P199" i="1"/>
  <c r="O199" i="1"/>
  <c r="O203" i="1"/>
  <c r="B7" i="3"/>
  <c r="D8" i="3"/>
  <c r="D6" i="15" s="1"/>
  <c r="D6" i="3"/>
  <c r="Q198" i="1" l="1"/>
  <c r="R203" i="1"/>
  <c r="Y203" i="1"/>
  <c r="R199" i="1"/>
  <c r="Y199" i="1"/>
  <c r="P198" i="1"/>
  <c r="S199" i="1"/>
  <c r="O198" i="1"/>
  <c r="H197" i="1"/>
  <c r="H190" i="1"/>
  <c r="I190" i="1" s="1"/>
  <c r="H189" i="1"/>
  <c r="H185" i="1"/>
  <c r="I185" i="1" s="1"/>
  <c r="H186" i="1"/>
  <c r="I186" i="1" s="1"/>
  <c r="H187" i="1"/>
  <c r="I187" i="1" s="1"/>
  <c r="H184" i="1"/>
  <c r="H180" i="1"/>
  <c r="H181" i="1"/>
  <c r="I181" i="1" s="1"/>
  <c r="H182" i="1"/>
  <c r="H179" i="1"/>
  <c r="I179" i="1" s="1"/>
  <c r="H177" i="1"/>
  <c r="I177" i="1" s="1"/>
  <c r="H176" i="1"/>
  <c r="H170" i="1"/>
  <c r="I170" i="1" s="1"/>
  <c r="H171" i="1"/>
  <c r="I171" i="1" s="1"/>
  <c r="H172" i="1"/>
  <c r="I172" i="1" s="1"/>
  <c r="H173" i="1"/>
  <c r="I173" i="1" s="1"/>
  <c r="H169" i="1"/>
  <c r="H162" i="1"/>
  <c r="H163" i="1"/>
  <c r="H164" i="1"/>
  <c r="H165" i="1"/>
  <c r="I165" i="1" s="1"/>
  <c r="H166" i="1"/>
  <c r="H167" i="1"/>
  <c r="H161" i="1"/>
  <c r="H158" i="1"/>
  <c r="H157" i="1"/>
  <c r="H155" i="1"/>
  <c r="H152" i="1"/>
  <c r="H150" i="1"/>
  <c r="I150" i="1" s="1"/>
  <c r="H148" i="1"/>
  <c r="H145" i="1"/>
  <c r="I145" i="1" s="1"/>
  <c r="H143" i="1"/>
  <c r="H142" i="1"/>
  <c r="H139" i="1"/>
  <c r="I139" i="1" s="1"/>
  <c r="H140" i="1"/>
  <c r="H138" i="1"/>
  <c r="I138" i="1" s="1"/>
  <c r="H135" i="1"/>
  <c r="I135" i="1" s="1"/>
  <c r="H132" i="1"/>
  <c r="I132" i="1" s="1"/>
  <c r="H133" i="1"/>
  <c r="H131" i="1"/>
  <c r="H128" i="1"/>
  <c r="H125" i="1"/>
  <c r="H122" i="1"/>
  <c r="I122" i="1" s="1"/>
  <c r="H123" i="1"/>
  <c r="I123" i="1" s="1"/>
  <c r="H121" i="1"/>
  <c r="H115" i="1"/>
  <c r="I115" i="1" s="1"/>
  <c r="H116" i="1"/>
  <c r="I116" i="1" s="1"/>
  <c r="H117" i="1"/>
  <c r="H118" i="1"/>
  <c r="H119" i="1"/>
  <c r="I119" i="1" s="1"/>
  <c r="H114" i="1"/>
  <c r="H76" i="1"/>
  <c r="I76" i="1" s="1"/>
  <c r="H77" i="1"/>
  <c r="H78" i="1"/>
  <c r="H81" i="1"/>
  <c r="I81" i="1" s="1"/>
  <c r="H82" i="1"/>
  <c r="I82" i="1" s="1"/>
  <c r="H83" i="1"/>
  <c r="I83" i="1" s="1"/>
  <c r="H84" i="1"/>
  <c r="I84" i="1" s="1"/>
  <c r="H85" i="1"/>
  <c r="P15" i="26" s="1"/>
  <c r="Q15" i="26" s="1"/>
  <c r="I86" i="1"/>
  <c r="I92" i="1"/>
  <c r="I93" i="1"/>
  <c r="I96" i="1"/>
  <c r="I97" i="1"/>
  <c r="I98" i="1"/>
  <c r="I99" i="1"/>
  <c r="I102" i="1"/>
  <c r="H104" i="1"/>
  <c r="H105" i="1"/>
  <c r="H106" i="1"/>
  <c r="H107" i="1"/>
  <c r="I107" i="1" s="1"/>
  <c r="H108" i="1"/>
  <c r="H109" i="1"/>
  <c r="H110" i="1"/>
  <c r="I110" i="1" s="1"/>
  <c r="H111" i="1"/>
  <c r="I111" i="1" s="1"/>
  <c r="H112" i="1"/>
  <c r="I112" i="1" s="1"/>
  <c r="H65" i="1"/>
  <c r="I65" i="1" s="1"/>
  <c r="H66" i="1"/>
  <c r="I66" i="1" s="1"/>
  <c r="H67" i="1"/>
  <c r="H68" i="1"/>
  <c r="I68" i="1" s="1"/>
  <c r="H69" i="1"/>
  <c r="I69" i="1" s="1"/>
  <c r="H70" i="1"/>
  <c r="H71" i="1"/>
  <c r="I71" i="1" s="1"/>
  <c r="H64" i="1"/>
  <c r="I64" i="1" s="1"/>
  <c r="H53" i="1"/>
  <c r="I53" i="1" s="1"/>
  <c r="H54" i="1"/>
  <c r="I54" i="1" s="1"/>
  <c r="H55" i="1"/>
  <c r="H56" i="1"/>
  <c r="H57" i="1"/>
  <c r="H58" i="1"/>
  <c r="I58" i="1" s="1"/>
  <c r="H59" i="1"/>
  <c r="H60" i="1"/>
  <c r="I60" i="1" s="1"/>
  <c r="H52" i="1"/>
  <c r="I48" i="1"/>
  <c r="I47" i="1"/>
  <c r="H42" i="1"/>
  <c r="I42" i="1" s="1"/>
  <c r="H43" i="1"/>
  <c r="H44" i="1"/>
  <c r="H45" i="1"/>
  <c r="I45" i="1" s="1"/>
  <c r="H41" i="1"/>
  <c r="I41" i="1" s="1"/>
  <c r="H36" i="1"/>
  <c r="H37" i="1"/>
  <c r="I37" i="1" s="1"/>
  <c r="H38" i="1"/>
  <c r="I38" i="1" s="1"/>
  <c r="H39" i="1"/>
  <c r="I39" i="1" s="1"/>
  <c r="H35" i="1"/>
  <c r="I35" i="1" s="1"/>
  <c r="H33" i="1"/>
  <c r="I33" i="1" s="1"/>
  <c r="H29" i="1"/>
  <c r="H30" i="1"/>
  <c r="I30" i="1" s="1"/>
  <c r="H31" i="1"/>
  <c r="H28" i="1"/>
  <c r="H26" i="1"/>
  <c r="H22" i="1"/>
  <c r="H18" i="1"/>
  <c r="I18" i="1" s="1"/>
  <c r="H19" i="1"/>
  <c r="H20" i="1"/>
  <c r="I17" i="1"/>
  <c r="H15" i="1"/>
  <c r="N15" i="1"/>
  <c r="R198" i="1" l="1"/>
  <c r="Y198" i="1"/>
  <c r="I78" i="1"/>
  <c r="I152" i="1"/>
  <c r="H154" i="1"/>
  <c r="I154" i="1" s="1"/>
  <c r="G22" i="3"/>
  <c r="J22" i="3" s="1"/>
  <c r="S198" i="1"/>
  <c r="J191" i="5"/>
  <c r="J193" i="5" s="1"/>
  <c r="F22" i="3"/>
  <c r="M15" i="1"/>
  <c r="M14" i="1" s="1"/>
  <c r="I117" i="1"/>
  <c r="I88" i="1"/>
  <c r="I95" i="1"/>
  <c r="I108" i="1"/>
  <c r="I101" i="1"/>
  <c r="I94" i="1"/>
  <c r="I100" i="1"/>
  <c r="I43" i="1"/>
  <c r="I20" i="1"/>
  <c r="I57" i="1"/>
  <c r="I131" i="1"/>
  <c r="I19" i="1"/>
  <c r="I26" i="1"/>
  <c r="I28" i="1"/>
  <c r="I118" i="1"/>
  <c r="I128" i="1"/>
  <c r="I142" i="1"/>
  <c r="I163" i="1"/>
  <c r="I176" i="1"/>
  <c r="I85" i="1"/>
  <c r="O15" i="1"/>
  <c r="I197" i="1"/>
  <c r="I114" i="1"/>
  <c r="I56" i="1"/>
  <c r="N14" i="1"/>
  <c r="I31" i="1"/>
  <c r="I15" i="1"/>
  <c r="P15" i="1" s="1"/>
  <c r="I59" i="1"/>
  <c r="I70" i="1"/>
  <c r="I104" i="1"/>
  <c r="I180" i="1"/>
  <c r="I133" i="1"/>
  <c r="I52" i="1"/>
  <c r="I125" i="1"/>
  <c r="I148" i="1"/>
  <c r="I169" i="1"/>
  <c r="I22" i="1"/>
  <c r="I140" i="1"/>
  <c r="I167" i="1"/>
  <c r="I44" i="1"/>
  <c r="I157" i="1"/>
  <c r="I166" i="1"/>
  <c r="I89" i="1"/>
  <c r="I184" i="1"/>
  <c r="I121" i="1"/>
  <c r="I55" i="1"/>
  <c r="I67" i="1"/>
  <c r="I109" i="1"/>
  <c r="I103" i="1"/>
  <c r="I77" i="1"/>
  <c r="I164" i="1"/>
  <c r="I36" i="1"/>
  <c r="I91" i="1"/>
  <c r="I90" i="1"/>
  <c r="I161" i="1"/>
  <c r="I155" i="1"/>
  <c r="I189" i="1"/>
  <c r="I29" i="1"/>
  <c r="I106" i="1"/>
  <c r="I162" i="1"/>
  <c r="I182" i="1"/>
  <c r="I158" i="1"/>
  <c r="I105" i="1"/>
  <c r="I87" i="1"/>
  <c r="K197" i="1"/>
  <c r="K195" i="1"/>
  <c r="K194" i="1"/>
  <c r="K193" i="1"/>
  <c r="K190" i="1"/>
  <c r="K189" i="1"/>
  <c r="O189" i="1" s="1"/>
  <c r="K187" i="1"/>
  <c r="O187" i="1" s="1"/>
  <c r="K186" i="1"/>
  <c r="P186" i="1" s="1"/>
  <c r="K185" i="1"/>
  <c r="O185" i="1" s="1"/>
  <c r="K184" i="1"/>
  <c r="O184" i="1" s="1"/>
  <c r="K182" i="1"/>
  <c r="K181" i="1"/>
  <c r="K180" i="1"/>
  <c r="K179" i="1"/>
  <c r="O179" i="1" s="1"/>
  <c r="K177" i="1"/>
  <c r="O177" i="1" s="1"/>
  <c r="K176" i="1"/>
  <c r="K173" i="1"/>
  <c r="O173" i="1" s="1"/>
  <c r="K172" i="1"/>
  <c r="K171" i="1"/>
  <c r="K170" i="1"/>
  <c r="K169" i="1"/>
  <c r="K167" i="1"/>
  <c r="K166" i="1"/>
  <c r="O166" i="1" s="1"/>
  <c r="K165" i="1"/>
  <c r="K164" i="1"/>
  <c r="O164" i="1" s="1"/>
  <c r="K163" i="1"/>
  <c r="K162" i="1"/>
  <c r="O162" i="1" s="1"/>
  <c r="K161" i="1"/>
  <c r="K158" i="1"/>
  <c r="K157" i="1"/>
  <c r="O157" i="1" s="1"/>
  <c r="K155" i="1"/>
  <c r="O155" i="1" s="1"/>
  <c r="K154" i="1"/>
  <c r="K152" i="1"/>
  <c r="K150" i="1"/>
  <c r="K148" i="1"/>
  <c r="K145" i="1"/>
  <c r="K143" i="1"/>
  <c r="O143" i="1" s="1"/>
  <c r="K142" i="1"/>
  <c r="O142" i="1" s="1"/>
  <c r="K140" i="1"/>
  <c r="K139" i="1"/>
  <c r="O139" i="1" s="1"/>
  <c r="K138" i="1"/>
  <c r="K135" i="1"/>
  <c r="K133" i="1"/>
  <c r="K132" i="1"/>
  <c r="K131" i="1"/>
  <c r="K128" i="1"/>
  <c r="O128" i="1" s="1"/>
  <c r="K125" i="1"/>
  <c r="K123" i="1"/>
  <c r="K122" i="1"/>
  <c r="K121" i="1"/>
  <c r="K119" i="1"/>
  <c r="K118" i="1"/>
  <c r="K117" i="1"/>
  <c r="K116" i="1"/>
  <c r="P116" i="1" s="1"/>
  <c r="K115" i="1"/>
  <c r="K114" i="1"/>
  <c r="O114" i="1" s="1"/>
  <c r="K112" i="1"/>
  <c r="K111" i="1"/>
  <c r="K110" i="1"/>
  <c r="K109" i="1"/>
  <c r="K108" i="1"/>
  <c r="P107" i="1"/>
  <c r="K106" i="1"/>
  <c r="K105" i="1"/>
  <c r="O105" i="1" s="1"/>
  <c r="K104" i="1"/>
  <c r="O104" i="1" s="1"/>
  <c r="K103" i="1"/>
  <c r="K102" i="1"/>
  <c r="K101" i="1"/>
  <c r="K100" i="1"/>
  <c r="O100" i="1" s="1"/>
  <c r="K99" i="1"/>
  <c r="O99" i="1" s="1"/>
  <c r="K98" i="1"/>
  <c r="K97" i="1"/>
  <c r="O97" i="1" s="1"/>
  <c r="K96" i="1"/>
  <c r="K95" i="1"/>
  <c r="O95" i="1" s="1"/>
  <c r="K94" i="1"/>
  <c r="O94" i="1" s="1"/>
  <c r="K93" i="1"/>
  <c r="K92" i="1"/>
  <c r="K91" i="1"/>
  <c r="O91" i="1" s="1"/>
  <c r="K90" i="1"/>
  <c r="K89" i="1"/>
  <c r="K88" i="1"/>
  <c r="K87" i="1"/>
  <c r="K86" i="1"/>
  <c r="O86" i="1" s="1"/>
  <c r="K85" i="1"/>
  <c r="K84" i="1"/>
  <c r="K83" i="1"/>
  <c r="O83" i="1" s="1"/>
  <c r="K82" i="1"/>
  <c r="K81" i="1"/>
  <c r="O81" i="1" s="1"/>
  <c r="K80" i="1"/>
  <c r="K79" i="1"/>
  <c r="K78" i="1"/>
  <c r="K77" i="1"/>
  <c r="O77" i="1" s="1"/>
  <c r="K76" i="1"/>
  <c r="K75" i="1"/>
  <c r="K74" i="1"/>
  <c r="K73" i="1"/>
  <c r="K71" i="1"/>
  <c r="K70" i="1"/>
  <c r="O70" i="1" s="1"/>
  <c r="K69" i="1"/>
  <c r="K68" i="1"/>
  <c r="K67" i="1"/>
  <c r="K66" i="1"/>
  <c r="O66" i="1" s="1"/>
  <c r="K65" i="1"/>
  <c r="K64" i="1"/>
  <c r="O64" i="1" s="1"/>
  <c r="K60" i="1"/>
  <c r="O60" i="1" s="1"/>
  <c r="K59" i="1"/>
  <c r="K58" i="1"/>
  <c r="U58" i="1" s="1"/>
  <c r="K57" i="1"/>
  <c r="K56" i="1"/>
  <c r="K55" i="1"/>
  <c r="K54" i="1"/>
  <c r="O54" i="1" s="1"/>
  <c r="K52" i="1"/>
  <c r="K48" i="1"/>
  <c r="K47" i="1"/>
  <c r="K45" i="1"/>
  <c r="K44" i="1"/>
  <c r="K43" i="1"/>
  <c r="O43" i="1" s="1"/>
  <c r="K42" i="1"/>
  <c r="K41" i="1"/>
  <c r="K39" i="1"/>
  <c r="K38" i="1"/>
  <c r="O38" i="1" s="1"/>
  <c r="K37" i="1"/>
  <c r="O37" i="1" s="1"/>
  <c r="K36" i="1"/>
  <c r="K35" i="1"/>
  <c r="K33" i="1"/>
  <c r="K31" i="1"/>
  <c r="O31" i="1" s="1"/>
  <c r="K30" i="1"/>
  <c r="K29" i="1"/>
  <c r="O29" i="1" s="1"/>
  <c r="K28" i="1"/>
  <c r="K26" i="1"/>
  <c r="O26" i="1" s="1"/>
  <c r="K25" i="1"/>
  <c r="K22" i="1"/>
  <c r="O22" i="1" s="1"/>
  <c r="K20" i="1"/>
  <c r="O20" i="1" s="1"/>
  <c r="K19" i="1"/>
  <c r="O19" i="1" s="1"/>
  <c r="K18" i="1"/>
  <c r="O18" i="1" s="1"/>
  <c r="K17" i="1"/>
  <c r="O17" i="1" s="1"/>
  <c r="L15" i="1"/>
  <c r="Q15" i="1" s="1"/>
  <c r="B21" i="3"/>
  <c r="B20" i="3"/>
  <c r="B19" i="3"/>
  <c r="B18" i="3"/>
  <c r="B17" i="3"/>
  <c r="B16" i="3"/>
  <c r="B15" i="3"/>
  <c r="B14" i="3"/>
  <c r="A21" i="3"/>
  <c r="A20" i="3"/>
  <c r="A19" i="3"/>
  <c r="A18" i="3"/>
  <c r="A17" i="3"/>
  <c r="A16" i="3"/>
  <c r="A15" i="3"/>
  <c r="A14" i="3"/>
  <c r="Y15" i="1" l="1"/>
  <c r="I22" i="3"/>
  <c r="O154" i="1"/>
  <c r="O153" i="1" s="1"/>
  <c r="M195" i="1"/>
  <c r="R15" i="1"/>
  <c r="P14" i="1"/>
  <c r="S15" i="1"/>
  <c r="O127" i="1"/>
  <c r="O21" i="1"/>
  <c r="O14" i="1"/>
  <c r="P64" i="1"/>
  <c r="P164" i="1"/>
  <c r="P105" i="1"/>
  <c r="P148" i="1"/>
  <c r="P197" i="1"/>
  <c r="O16" i="1"/>
  <c r="N35" i="1"/>
  <c r="M35" i="1"/>
  <c r="M76" i="1"/>
  <c r="N76" i="1"/>
  <c r="M108" i="1"/>
  <c r="N108" i="1"/>
  <c r="L169" i="1"/>
  <c r="N169" i="1"/>
  <c r="M169" i="1"/>
  <c r="N25" i="1"/>
  <c r="L36" i="1"/>
  <c r="M36" i="1"/>
  <c r="N36" i="1"/>
  <c r="M45" i="1"/>
  <c r="N45" i="1"/>
  <c r="M57" i="1"/>
  <c r="N57" i="1"/>
  <c r="M68" i="1"/>
  <c r="N68" i="1"/>
  <c r="L77" i="1"/>
  <c r="M77" i="1"/>
  <c r="N77" i="1"/>
  <c r="Q77" i="1" s="1"/>
  <c r="L85" i="1"/>
  <c r="M85" i="1"/>
  <c r="N85" i="1"/>
  <c r="L93" i="1"/>
  <c r="M93" i="1"/>
  <c r="N93" i="1"/>
  <c r="L101" i="1"/>
  <c r="M101" i="1"/>
  <c r="N101" i="1"/>
  <c r="L109" i="1"/>
  <c r="M109" i="1"/>
  <c r="N109" i="1"/>
  <c r="L118" i="1"/>
  <c r="N118" i="1"/>
  <c r="M118" i="1"/>
  <c r="L132" i="1"/>
  <c r="M132" i="1"/>
  <c r="N132" i="1"/>
  <c r="O132" i="1"/>
  <c r="L145" i="1"/>
  <c r="L144" i="1" s="1"/>
  <c r="M145" i="1"/>
  <c r="M144" i="1" s="1"/>
  <c r="O145" i="1"/>
  <c r="N145" i="1"/>
  <c r="L161" i="1"/>
  <c r="M161" i="1"/>
  <c r="O161" i="1"/>
  <c r="Y161" i="1" s="1"/>
  <c r="N161" i="1"/>
  <c r="L170" i="1"/>
  <c r="N170" i="1"/>
  <c r="M170" i="1"/>
  <c r="O170" i="1"/>
  <c r="L181" i="1"/>
  <c r="M181" i="1"/>
  <c r="N181" i="1"/>
  <c r="L193" i="1"/>
  <c r="M193" i="1"/>
  <c r="O181" i="1"/>
  <c r="Y181" i="1" s="1"/>
  <c r="O107" i="1"/>
  <c r="M58" i="1"/>
  <c r="N58" i="1"/>
  <c r="O58" i="1"/>
  <c r="L94" i="1"/>
  <c r="R94" i="1" s="1"/>
  <c r="M94" i="1"/>
  <c r="N94" i="1"/>
  <c r="M110" i="1"/>
  <c r="N110" i="1"/>
  <c r="O110" i="1"/>
  <c r="L133" i="1"/>
  <c r="M133" i="1"/>
  <c r="N133" i="1"/>
  <c r="L162" i="1"/>
  <c r="R162" i="1" s="1"/>
  <c r="M162" i="1"/>
  <c r="N162" i="1"/>
  <c r="L171" i="1"/>
  <c r="M171" i="1"/>
  <c r="N171" i="1"/>
  <c r="L194" i="1"/>
  <c r="M194" i="1"/>
  <c r="P43" i="1"/>
  <c r="O85" i="1"/>
  <c r="O101" i="1"/>
  <c r="Y101" i="1" s="1"/>
  <c r="O109" i="1"/>
  <c r="L44" i="1"/>
  <c r="M44" i="1"/>
  <c r="N44" i="1"/>
  <c r="Q44" i="1" s="1"/>
  <c r="L92" i="1"/>
  <c r="M92" i="1"/>
  <c r="O92" i="1"/>
  <c r="N92" i="1"/>
  <c r="M117" i="1"/>
  <c r="N117" i="1"/>
  <c r="L158" i="1"/>
  <c r="M158" i="1"/>
  <c r="N158" i="1"/>
  <c r="L190" i="1"/>
  <c r="M190" i="1"/>
  <c r="N190" i="1"/>
  <c r="O190" i="1"/>
  <c r="L26" i="1"/>
  <c r="R26" i="1" s="1"/>
  <c r="N26" i="1"/>
  <c r="Q26" i="1" s="1"/>
  <c r="M26" i="1"/>
  <c r="L47" i="1"/>
  <c r="M47" i="1"/>
  <c r="O47" i="1"/>
  <c r="N47" i="1"/>
  <c r="M78" i="1"/>
  <c r="N78" i="1"/>
  <c r="O78" i="1"/>
  <c r="L102" i="1"/>
  <c r="M102" i="1"/>
  <c r="N102" i="1"/>
  <c r="O102" i="1"/>
  <c r="N119" i="1"/>
  <c r="M119" i="1"/>
  <c r="L148" i="1"/>
  <c r="L147" i="1" s="1"/>
  <c r="O148" i="1"/>
  <c r="M148" i="1"/>
  <c r="M147" i="1" s="1"/>
  <c r="N148" i="1"/>
  <c r="L182" i="1"/>
  <c r="M182" i="1"/>
  <c r="N182" i="1"/>
  <c r="M28" i="1"/>
  <c r="N28" i="1"/>
  <c r="L38" i="1"/>
  <c r="R38" i="1" s="1"/>
  <c r="N38" i="1"/>
  <c r="M38" i="1"/>
  <c r="L48" i="1"/>
  <c r="M48" i="1"/>
  <c r="N48" i="1"/>
  <c r="O48" i="1"/>
  <c r="L59" i="1"/>
  <c r="N59" i="1"/>
  <c r="M59" i="1"/>
  <c r="L70" i="1"/>
  <c r="R70" i="1" s="1"/>
  <c r="N70" i="1"/>
  <c r="M70" i="1"/>
  <c r="L79" i="1"/>
  <c r="M79" i="1"/>
  <c r="L87" i="1"/>
  <c r="N87" i="1"/>
  <c r="M87" i="1"/>
  <c r="L95" i="1"/>
  <c r="R95" i="1" s="1"/>
  <c r="M95" i="1"/>
  <c r="N95" i="1"/>
  <c r="L103" i="1"/>
  <c r="O103" i="1"/>
  <c r="N103" i="1"/>
  <c r="M103" i="1"/>
  <c r="L111" i="1"/>
  <c r="N111" i="1"/>
  <c r="M111" i="1"/>
  <c r="O111" i="1"/>
  <c r="L121" i="1"/>
  <c r="N121" i="1"/>
  <c r="M121" i="1"/>
  <c r="L135" i="1"/>
  <c r="L134" i="1" s="1"/>
  <c r="N135" i="1"/>
  <c r="M135" i="1"/>
  <c r="M134" i="1" s="1"/>
  <c r="L150" i="1"/>
  <c r="L149" i="1" s="1"/>
  <c r="N150" i="1"/>
  <c r="M150" i="1"/>
  <c r="M149" i="1" s="1"/>
  <c r="L163" i="1"/>
  <c r="N163" i="1"/>
  <c r="M163" i="1"/>
  <c r="L172" i="1"/>
  <c r="M172" i="1"/>
  <c r="N172" i="1"/>
  <c r="O172" i="1"/>
  <c r="L184" i="1"/>
  <c r="R184" i="1" s="1"/>
  <c r="N184" i="1"/>
  <c r="M184" i="1"/>
  <c r="O35" i="1"/>
  <c r="O150" i="1"/>
  <c r="O36" i="1"/>
  <c r="O28" i="1"/>
  <c r="O182" i="1"/>
  <c r="O133" i="1"/>
  <c r="Y133" i="1" s="1"/>
  <c r="L84" i="1"/>
  <c r="M84" i="1"/>
  <c r="N84" i="1"/>
  <c r="O84" i="1"/>
  <c r="Y84" i="1" s="1"/>
  <c r="L180" i="1"/>
  <c r="M180" i="1"/>
  <c r="N180" i="1"/>
  <c r="O180" i="1"/>
  <c r="M69" i="1"/>
  <c r="N69" i="1"/>
  <c r="L17" i="1"/>
  <c r="R17" i="1" s="1"/>
  <c r="M17" i="1"/>
  <c r="N17" i="1"/>
  <c r="L39" i="1"/>
  <c r="M39" i="1"/>
  <c r="N39" i="1"/>
  <c r="L52" i="1"/>
  <c r="O52" i="1"/>
  <c r="N52" i="1"/>
  <c r="M52" i="1"/>
  <c r="L60" i="1"/>
  <c r="R60" i="1" s="1"/>
  <c r="M60" i="1"/>
  <c r="N60" i="1"/>
  <c r="L71" i="1"/>
  <c r="N71" i="1"/>
  <c r="M71" i="1"/>
  <c r="L80" i="1"/>
  <c r="M80" i="1"/>
  <c r="L88" i="1"/>
  <c r="N88" i="1"/>
  <c r="M88" i="1"/>
  <c r="L96" i="1"/>
  <c r="N96" i="1"/>
  <c r="M96" i="1"/>
  <c r="L104" i="1"/>
  <c r="R104" i="1" s="1"/>
  <c r="N104" i="1"/>
  <c r="M104" i="1"/>
  <c r="L112" i="1"/>
  <c r="N112" i="1"/>
  <c r="M112" i="1"/>
  <c r="O122" i="1"/>
  <c r="N122" i="1"/>
  <c r="M122" i="1"/>
  <c r="L138" i="1"/>
  <c r="O138" i="1"/>
  <c r="N138" i="1"/>
  <c r="M138" i="1"/>
  <c r="L152" i="1"/>
  <c r="L151" i="1" s="1"/>
  <c r="O152" i="1"/>
  <c r="N152" i="1"/>
  <c r="M152" i="1"/>
  <c r="M151" i="1" s="1"/>
  <c r="L164" i="1"/>
  <c r="R164" i="1" s="1"/>
  <c r="M164" i="1"/>
  <c r="N164" i="1"/>
  <c r="L173" i="1"/>
  <c r="R173" i="1" s="1"/>
  <c r="M173" i="1"/>
  <c r="N173" i="1"/>
  <c r="L185" i="1"/>
  <c r="R185" i="1" s="1"/>
  <c r="N185" i="1"/>
  <c r="M185" i="1"/>
  <c r="L197" i="1"/>
  <c r="L196" i="1" s="1"/>
  <c r="N197" i="1"/>
  <c r="M197" i="1"/>
  <c r="M196" i="1" s="1"/>
  <c r="P66" i="1"/>
  <c r="O39" i="1"/>
  <c r="O135" i="1"/>
  <c r="O119" i="1"/>
  <c r="O197" i="1"/>
  <c r="O169" i="1"/>
  <c r="O108" i="1"/>
  <c r="O88" i="1"/>
  <c r="M56" i="1"/>
  <c r="N56" i="1"/>
  <c r="L143" i="1"/>
  <c r="M143" i="1"/>
  <c r="N143" i="1"/>
  <c r="L29" i="1"/>
  <c r="R29" i="1" s="1"/>
  <c r="M29" i="1"/>
  <c r="N29" i="1"/>
  <c r="N41" i="1"/>
  <c r="M41" i="1"/>
  <c r="O41" i="1"/>
  <c r="L64" i="1"/>
  <c r="R64" i="1" s="1"/>
  <c r="N64" i="1"/>
  <c r="M64" i="1"/>
  <c r="L73" i="1"/>
  <c r="M73" i="1"/>
  <c r="L89" i="1"/>
  <c r="M89" i="1"/>
  <c r="N89" i="1"/>
  <c r="L105" i="1"/>
  <c r="R105" i="1" s="1"/>
  <c r="M105" i="1"/>
  <c r="N105" i="1"/>
  <c r="N114" i="1"/>
  <c r="M114" i="1"/>
  <c r="M123" i="1"/>
  <c r="N123" i="1"/>
  <c r="L139" i="1"/>
  <c r="R139" i="1" s="1"/>
  <c r="N139" i="1"/>
  <c r="M139" i="1"/>
  <c r="L154" i="1"/>
  <c r="N154" i="1"/>
  <c r="M154" i="1"/>
  <c r="L165" i="1"/>
  <c r="N165" i="1"/>
  <c r="M165" i="1"/>
  <c r="O165" i="1"/>
  <c r="L176" i="1"/>
  <c r="N176" i="1"/>
  <c r="M176" i="1"/>
  <c r="L186" i="1"/>
  <c r="T186" i="1" s="1"/>
  <c r="M186" i="1"/>
  <c r="N186" i="1"/>
  <c r="P189" i="1"/>
  <c r="P96" i="1"/>
  <c r="P177" i="1"/>
  <c r="O116" i="1"/>
  <c r="O96" i="1"/>
  <c r="O176" i="1"/>
  <c r="O76" i="1"/>
  <c r="O69" i="1"/>
  <c r="O121" i="1"/>
  <c r="L22" i="1"/>
  <c r="L21" i="1" s="1"/>
  <c r="N22" i="1"/>
  <c r="M22" i="1"/>
  <c r="M21" i="1" s="1"/>
  <c r="L67" i="1"/>
  <c r="M67" i="1"/>
  <c r="N67" i="1"/>
  <c r="O67" i="1"/>
  <c r="M100" i="1"/>
  <c r="N100" i="1"/>
  <c r="L131" i="1"/>
  <c r="N131" i="1"/>
  <c r="M131" i="1"/>
  <c r="M37" i="1"/>
  <c r="N37" i="1"/>
  <c r="M86" i="1"/>
  <c r="N86" i="1"/>
  <c r="L18" i="1"/>
  <c r="R18" i="1" s="1"/>
  <c r="M18" i="1"/>
  <c r="N18" i="1"/>
  <c r="O30" i="1"/>
  <c r="M30" i="1"/>
  <c r="N30" i="1"/>
  <c r="L53" i="1"/>
  <c r="M53" i="1"/>
  <c r="N53" i="1"/>
  <c r="O53" i="1"/>
  <c r="L81" i="1"/>
  <c r="R81" i="1" s="1"/>
  <c r="M81" i="1"/>
  <c r="N81" i="1"/>
  <c r="L97" i="1"/>
  <c r="R97" i="1" s="1"/>
  <c r="M97" i="1"/>
  <c r="N97" i="1"/>
  <c r="L19" i="1"/>
  <c r="R19" i="1" s="1"/>
  <c r="N19" i="1"/>
  <c r="M19" i="1"/>
  <c r="M31" i="1"/>
  <c r="N31" i="1"/>
  <c r="L42" i="1"/>
  <c r="M42" i="1"/>
  <c r="N42" i="1"/>
  <c r="L54" i="1"/>
  <c r="R54" i="1" s="1"/>
  <c r="M54" i="1"/>
  <c r="N54" i="1"/>
  <c r="L65" i="1"/>
  <c r="M65" i="1"/>
  <c r="N65" i="1"/>
  <c r="O65" i="1"/>
  <c r="L74" i="1"/>
  <c r="M74" i="1"/>
  <c r="M82" i="1"/>
  <c r="N82" i="1"/>
  <c r="O82" i="1"/>
  <c r="L90" i="1"/>
  <c r="M90" i="1"/>
  <c r="N90" i="1"/>
  <c r="O90" i="1"/>
  <c r="M98" i="1"/>
  <c r="N98" i="1"/>
  <c r="O98" i="1"/>
  <c r="L106" i="1"/>
  <c r="N106" i="1"/>
  <c r="M106" i="1"/>
  <c r="O106" i="1"/>
  <c r="M115" i="1"/>
  <c r="N115" i="1"/>
  <c r="O115" i="1"/>
  <c r="L125" i="1"/>
  <c r="L124" i="1" s="1"/>
  <c r="N125" i="1"/>
  <c r="M125" i="1"/>
  <c r="M124" i="1" s="1"/>
  <c r="O125" i="1"/>
  <c r="Y125" i="1" s="1"/>
  <c r="L140" i="1"/>
  <c r="M140" i="1"/>
  <c r="N140" i="1"/>
  <c r="L155" i="1"/>
  <c r="R155" i="1" s="1"/>
  <c r="N155" i="1"/>
  <c r="M155" i="1"/>
  <c r="L166" i="1"/>
  <c r="R166" i="1" s="1"/>
  <c r="M166" i="1"/>
  <c r="N166" i="1"/>
  <c r="L177" i="1"/>
  <c r="R177" i="1" s="1"/>
  <c r="N177" i="1"/>
  <c r="M177" i="1"/>
  <c r="L187" i="1"/>
  <c r="R187" i="1" s="1"/>
  <c r="M187" i="1"/>
  <c r="N187" i="1"/>
  <c r="O42" i="1"/>
  <c r="Y42" i="1" s="1"/>
  <c r="O93" i="1"/>
  <c r="Y93" i="1" s="1"/>
  <c r="O71" i="1"/>
  <c r="O118" i="1"/>
  <c r="O112" i="1"/>
  <c r="O131" i="1"/>
  <c r="O57" i="1"/>
  <c r="O171" i="1"/>
  <c r="O158" i="1"/>
  <c r="Y158" i="1" s="1"/>
  <c r="O59" i="1"/>
  <c r="Y59" i="1" s="1"/>
  <c r="O117" i="1"/>
  <c r="L20" i="1"/>
  <c r="R20" i="1" s="1"/>
  <c r="M20" i="1"/>
  <c r="N20" i="1"/>
  <c r="O33" i="1"/>
  <c r="N33" i="1"/>
  <c r="M33" i="1"/>
  <c r="M32" i="1" s="1"/>
  <c r="L43" i="1"/>
  <c r="R43" i="1" s="1"/>
  <c r="M43" i="1"/>
  <c r="N43" i="1"/>
  <c r="L55" i="1"/>
  <c r="M55" i="1"/>
  <c r="O55" i="1"/>
  <c r="N55" i="1"/>
  <c r="L66" i="1"/>
  <c r="R66" i="1" s="1"/>
  <c r="M66" i="1"/>
  <c r="N66" i="1"/>
  <c r="L75" i="1"/>
  <c r="M75" i="1"/>
  <c r="L83" i="1"/>
  <c r="R83" i="1" s="1"/>
  <c r="M83" i="1"/>
  <c r="N83" i="1"/>
  <c r="L91" i="1"/>
  <c r="R91" i="1" s="1"/>
  <c r="M91" i="1"/>
  <c r="N91" i="1"/>
  <c r="L99" i="1"/>
  <c r="R99" i="1" s="1"/>
  <c r="M99" i="1"/>
  <c r="N99" i="1"/>
  <c r="L107" i="1"/>
  <c r="T107" i="1" s="1"/>
  <c r="M107" i="1"/>
  <c r="N107" i="1"/>
  <c r="L116" i="1"/>
  <c r="T116" i="1" s="1"/>
  <c r="M116" i="1"/>
  <c r="N116" i="1"/>
  <c r="M128" i="1"/>
  <c r="M127" i="1" s="1"/>
  <c r="N128" i="1"/>
  <c r="M142" i="1"/>
  <c r="N142" i="1"/>
  <c r="L157" i="1"/>
  <c r="R157" i="1" s="1"/>
  <c r="M157" i="1"/>
  <c r="N157" i="1"/>
  <c r="L167" i="1"/>
  <c r="O167" i="1"/>
  <c r="Y167" i="1" s="1"/>
  <c r="M167" i="1"/>
  <c r="N167" i="1"/>
  <c r="L179" i="1"/>
  <c r="R179" i="1" s="1"/>
  <c r="M179" i="1"/>
  <c r="N179" i="1"/>
  <c r="L189" i="1"/>
  <c r="Y189" i="1" s="1"/>
  <c r="M189" i="1"/>
  <c r="N189" i="1"/>
  <c r="P81" i="1"/>
  <c r="P20" i="1"/>
  <c r="S20" i="1" s="1"/>
  <c r="P167" i="1"/>
  <c r="P18" i="1"/>
  <c r="S18" i="1" s="1"/>
  <c r="O45" i="1"/>
  <c r="O68" i="1"/>
  <c r="O44" i="1"/>
  <c r="O123" i="1"/>
  <c r="O163" i="1"/>
  <c r="Y163" i="1" s="1"/>
  <c r="O56" i="1"/>
  <c r="O140" i="1"/>
  <c r="O89" i="1"/>
  <c r="Y89" i="1" s="1"/>
  <c r="O186" i="1"/>
  <c r="O87" i="1"/>
  <c r="Y87" i="1" s="1"/>
  <c r="T15" i="1"/>
  <c r="P29" i="1"/>
  <c r="P90" i="1"/>
  <c r="P157" i="1"/>
  <c r="P106" i="1"/>
  <c r="P139" i="1"/>
  <c r="P70" i="1"/>
  <c r="S70" i="1" s="1"/>
  <c r="P172" i="1"/>
  <c r="P54" i="1"/>
  <c r="P103" i="1"/>
  <c r="P95" i="1"/>
  <c r="P173" i="1"/>
  <c r="P17" i="1"/>
  <c r="S17" i="1" s="1"/>
  <c r="P42" i="1"/>
  <c r="P38" i="1"/>
  <c r="S38" i="1" s="1"/>
  <c r="P165" i="1"/>
  <c r="P176" i="1"/>
  <c r="L35" i="1"/>
  <c r="P35" i="1"/>
  <c r="L56" i="1"/>
  <c r="P56" i="1"/>
  <c r="L108" i="1"/>
  <c r="P108" i="1"/>
  <c r="L57" i="1"/>
  <c r="P57" i="1"/>
  <c r="L37" i="1"/>
  <c r="R37" i="1" s="1"/>
  <c r="P37" i="1"/>
  <c r="L69" i="1"/>
  <c r="P69" i="1"/>
  <c r="L78" i="1"/>
  <c r="P78" i="1"/>
  <c r="L110" i="1"/>
  <c r="P110" i="1"/>
  <c r="P161" i="1"/>
  <c r="P190" i="1"/>
  <c r="P109" i="1"/>
  <c r="P26" i="1"/>
  <c r="S26" i="1" s="1"/>
  <c r="L28" i="1"/>
  <c r="P28" i="1"/>
  <c r="L195" i="1"/>
  <c r="P162" i="1"/>
  <c r="P48" i="1"/>
  <c r="P133" i="1"/>
  <c r="S133" i="1" s="1"/>
  <c r="P101" i="1"/>
  <c r="S101" i="1" s="1"/>
  <c r="P118" i="1"/>
  <c r="P121" i="1"/>
  <c r="S121" i="1" s="1"/>
  <c r="P102" i="1"/>
  <c r="S102" i="1" s="1"/>
  <c r="L30" i="1"/>
  <c r="P30" i="1"/>
  <c r="L41" i="1"/>
  <c r="P41" i="1"/>
  <c r="L114" i="1"/>
  <c r="R114" i="1" s="1"/>
  <c r="P114" i="1"/>
  <c r="L123" i="1"/>
  <c r="P150" i="1"/>
  <c r="P185" i="1"/>
  <c r="S185" i="1" s="1"/>
  <c r="P163" i="1"/>
  <c r="P36" i="1"/>
  <c r="P145" i="1"/>
  <c r="P47" i="1"/>
  <c r="S47" i="1" s="1"/>
  <c r="P77" i="1"/>
  <c r="S77" i="1" s="1"/>
  <c r="P60" i="1"/>
  <c r="P88" i="1"/>
  <c r="P83" i="1"/>
  <c r="P93" i="1"/>
  <c r="P65" i="1"/>
  <c r="P181" i="1"/>
  <c r="L76" i="1"/>
  <c r="P76" i="1"/>
  <c r="L100" i="1"/>
  <c r="R100" i="1" s="1"/>
  <c r="P100" i="1"/>
  <c r="L117" i="1"/>
  <c r="P117" i="1"/>
  <c r="P158" i="1"/>
  <c r="P180" i="1"/>
  <c r="L45" i="1"/>
  <c r="P45" i="1"/>
  <c r="L68" i="1"/>
  <c r="P68" i="1"/>
  <c r="O141" i="1"/>
  <c r="L31" i="1"/>
  <c r="R31" i="1" s="1"/>
  <c r="P31" i="1"/>
  <c r="L82" i="1"/>
  <c r="P82" i="1"/>
  <c r="L98" i="1"/>
  <c r="P98" i="1"/>
  <c r="L115" i="1"/>
  <c r="P115" i="1"/>
  <c r="P179" i="1"/>
  <c r="P170" i="1"/>
  <c r="P182" i="1"/>
  <c r="P91" i="1"/>
  <c r="P19" i="1"/>
  <c r="P99" i="1"/>
  <c r="P89" i="1"/>
  <c r="P84" i="1"/>
  <c r="P169" i="1"/>
  <c r="P104" i="1"/>
  <c r="P39" i="1"/>
  <c r="P94" i="1"/>
  <c r="L25" i="1"/>
  <c r="P22" i="1"/>
  <c r="P92" i="1"/>
  <c r="S92" i="1" s="1"/>
  <c r="L58" i="1"/>
  <c r="P58" i="1"/>
  <c r="L86" i="1"/>
  <c r="R86" i="1" s="1"/>
  <c r="P86" i="1"/>
  <c r="L119" i="1"/>
  <c r="P119" i="1"/>
  <c r="P67" i="1"/>
  <c r="P44" i="1"/>
  <c r="S44" i="1" s="1"/>
  <c r="P87" i="1"/>
  <c r="P85" i="1"/>
  <c r="P135" i="1"/>
  <c r="L122" i="1"/>
  <c r="P122" i="1"/>
  <c r="P184" i="1"/>
  <c r="P71" i="1"/>
  <c r="L33" i="1"/>
  <c r="P33" i="1"/>
  <c r="L128" i="1"/>
  <c r="R128" i="1" s="1"/>
  <c r="P128" i="1"/>
  <c r="L142" i="1"/>
  <c r="P142" i="1" s="1"/>
  <c r="S142" i="1" s="1"/>
  <c r="P97" i="1"/>
  <c r="P187" i="1"/>
  <c r="P111" i="1"/>
  <c r="P53" i="1"/>
  <c r="P59" i="1"/>
  <c r="S59" i="1" s="1"/>
  <c r="L14" i="1"/>
  <c r="S184" i="1" l="1"/>
  <c r="S85" i="1"/>
  <c r="S169" i="1"/>
  <c r="Y102" i="1"/>
  <c r="Y47" i="1"/>
  <c r="Y92" i="1"/>
  <c r="Y85" i="1"/>
  <c r="Q171" i="1"/>
  <c r="S83" i="1"/>
  <c r="Y55" i="1"/>
  <c r="S143" i="1"/>
  <c r="Y52" i="1"/>
  <c r="Y132" i="1"/>
  <c r="P154" i="1"/>
  <c r="Y169" i="1"/>
  <c r="Y138" i="1"/>
  <c r="P143" i="1"/>
  <c r="R77" i="1"/>
  <c r="Y77" i="1"/>
  <c r="S97" i="1"/>
  <c r="S122" i="1"/>
  <c r="S90" i="1"/>
  <c r="Y26" i="1"/>
  <c r="Y96" i="1"/>
  <c r="S103" i="1"/>
  <c r="S162" i="1"/>
  <c r="Y165" i="1"/>
  <c r="Y155" i="1"/>
  <c r="L188" i="1"/>
  <c r="Y71" i="1"/>
  <c r="Y121" i="1"/>
  <c r="Y64" i="1"/>
  <c r="Y28" i="1"/>
  <c r="Y184" i="1"/>
  <c r="S71" i="1"/>
  <c r="S67" i="1"/>
  <c r="Y186" i="1"/>
  <c r="Y106" i="1"/>
  <c r="Y65" i="1"/>
  <c r="Y67" i="1"/>
  <c r="Y152" i="1"/>
  <c r="Y103" i="1"/>
  <c r="M141" i="1"/>
  <c r="Y140" i="1"/>
  <c r="Y197" i="1"/>
  <c r="Y36" i="1"/>
  <c r="Y14" i="1"/>
  <c r="Y179" i="1"/>
  <c r="Y17" i="1"/>
  <c r="Y18" i="1"/>
  <c r="Y94" i="1"/>
  <c r="Y56" i="1"/>
  <c r="R171" i="1"/>
  <c r="Y171" i="1"/>
  <c r="Y119" i="1"/>
  <c r="Y150" i="1"/>
  <c r="Y21" i="1"/>
  <c r="Y22" i="1"/>
  <c r="Y143" i="1"/>
  <c r="Y157" i="1"/>
  <c r="Y38" i="1"/>
  <c r="Y81" i="1"/>
  <c r="Y185" i="1"/>
  <c r="Y19" i="1"/>
  <c r="Y33" i="1"/>
  <c r="Y57" i="1"/>
  <c r="Y82" i="1"/>
  <c r="Y69" i="1"/>
  <c r="Y41" i="1"/>
  <c r="R135" i="1"/>
  <c r="Y135" i="1"/>
  <c r="Y35" i="1"/>
  <c r="Y99" i="1"/>
  <c r="Y100" i="1"/>
  <c r="Y142" i="1"/>
  <c r="Y37" i="1"/>
  <c r="Y95" i="1"/>
  <c r="Y173" i="1"/>
  <c r="Y123" i="1"/>
  <c r="R131" i="1"/>
  <c r="Y131" i="1"/>
  <c r="Y98" i="1"/>
  <c r="Y76" i="1"/>
  <c r="Y39" i="1"/>
  <c r="Y122" i="1"/>
  <c r="Y58" i="1"/>
  <c r="Y43" i="1"/>
  <c r="Y128" i="1"/>
  <c r="Y86" i="1"/>
  <c r="Y162" i="1"/>
  <c r="Y164" i="1"/>
  <c r="R44" i="1"/>
  <c r="Y44" i="1"/>
  <c r="R112" i="1"/>
  <c r="Y112" i="1"/>
  <c r="Y115" i="1"/>
  <c r="Y30" i="1"/>
  <c r="Y176" i="1"/>
  <c r="R148" i="1"/>
  <c r="Y148" i="1"/>
  <c r="Y78" i="1"/>
  <c r="Y31" i="1"/>
  <c r="Y20" i="1"/>
  <c r="Y91" i="1"/>
  <c r="Y187" i="1"/>
  <c r="Y154" i="1"/>
  <c r="Y104" i="1"/>
  <c r="Y68" i="1"/>
  <c r="Y118" i="1"/>
  <c r="Y88" i="1"/>
  <c r="Y180" i="1"/>
  <c r="Y110" i="1"/>
  <c r="Y170" i="1"/>
  <c r="Y97" i="1"/>
  <c r="Y54" i="1"/>
  <c r="Y83" i="1"/>
  <c r="Y177" i="1"/>
  <c r="Y139" i="1"/>
  <c r="Y60" i="1"/>
  <c r="Y45" i="1"/>
  <c r="Y117" i="1"/>
  <c r="Y90" i="1"/>
  <c r="Y53" i="1"/>
  <c r="Y116" i="1"/>
  <c r="Y108" i="1"/>
  <c r="Y182" i="1"/>
  <c r="Y172" i="1"/>
  <c r="Y111" i="1"/>
  <c r="Y48" i="1"/>
  <c r="Y190" i="1"/>
  <c r="Y109" i="1"/>
  <c r="Y107" i="1"/>
  <c r="Y145" i="1"/>
  <c r="Y29" i="1"/>
  <c r="Y105" i="1"/>
  <c r="Y66" i="1"/>
  <c r="Y166" i="1"/>
  <c r="Y114" i="1"/>
  <c r="Y70" i="1"/>
  <c r="M130" i="1"/>
  <c r="M129" i="1" s="1"/>
  <c r="Q169" i="1"/>
  <c r="Q59" i="1"/>
  <c r="S139" i="1"/>
  <c r="R71" i="1"/>
  <c r="R169" i="1"/>
  <c r="Q190" i="1"/>
  <c r="R101" i="1"/>
  <c r="Q162" i="1"/>
  <c r="S190" i="1"/>
  <c r="S173" i="1"/>
  <c r="S167" i="1"/>
  <c r="Q83" i="1"/>
  <c r="R158" i="1"/>
  <c r="R42" i="1"/>
  <c r="Q42" i="1"/>
  <c r="Q97" i="1"/>
  <c r="R121" i="1"/>
  <c r="S96" i="1"/>
  <c r="Q139" i="1"/>
  <c r="Q64" i="1"/>
  <c r="Q143" i="1"/>
  <c r="Q104" i="1"/>
  <c r="Q17" i="1"/>
  <c r="Q111" i="1"/>
  <c r="R47" i="1"/>
  <c r="R92" i="1"/>
  <c r="R85" i="1"/>
  <c r="R36" i="1"/>
  <c r="R150" i="1"/>
  <c r="S157" i="1"/>
  <c r="S19" i="1"/>
  <c r="S176" i="1"/>
  <c r="S29" i="1"/>
  <c r="R197" i="1"/>
  <c r="S88" i="1"/>
  <c r="S54" i="1"/>
  <c r="R39" i="1"/>
  <c r="R140" i="1"/>
  <c r="S91" i="1"/>
  <c r="S39" i="1"/>
  <c r="S82" i="1"/>
  <c r="S45" i="1"/>
  <c r="S76" i="1"/>
  <c r="S28" i="1"/>
  <c r="S78" i="1"/>
  <c r="S108" i="1"/>
  <c r="R176" i="1"/>
  <c r="Q71" i="1"/>
  <c r="Q184" i="1"/>
  <c r="Q121" i="1"/>
  <c r="R103" i="1"/>
  <c r="Q157" i="1"/>
  <c r="Q91" i="1"/>
  <c r="Q43" i="1"/>
  <c r="R118" i="1"/>
  <c r="Q140" i="1"/>
  <c r="Q54" i="1"/>
  <c r="Q18" i="1"/>
  <c r="Q29" i="1"/>
  <c r="R88" i="1"/>
  <c r="Q39" i="1"/>
  <c r="Q36" i="1"/>
  <c r="S107" i="1"/>
  <c r="S58" i="1"/>
  <c r="Q19" i="1"/>
  <c r="Q176" i="1"/>
  <c r="Q88" i="1"/>
  <c r="R190" i="1"/>
  <c r="S99" i="1"/>
  <c r="S163" i="1"/>
  <c r="S161" i="1"/>
  <c r="S42" i="1"/>
  <c r="S95" i="1"/>
  <c r="R96" i="1"/>
  <c r="R180" i="1"/>
  <c r="R133" i="1"/>
  <c r="R170" i="1"/>
  <c r="Q35" i="1"/>
  <c r="R21" i="1"/>
  <c r="R53" i="1"/>
  <c r="Q105" i="1"/>
  <c r="Q164" i="1"/>
  <c r="Q138" i="1"/>
  <c r="Q60" i="1"/>
  <c r="Q180" i="1"/>
  <c r="R182" i="1"/>
  <c r="R172" i="1"/>
  <c r="R111" i="1"/>
  <c r="Q95" i="1"/>
  <c r="R48" i="1"/>
  <c r="Q133" i="1"/>
  <c r="Q181" i="1"/>
  <c r="R161" i="1"/>
  <c r="Q132" i="1"/>
  <c r="S181" i="1"/>
  <c r="R186" i="1"/>
  <c r="R163" i="1"/>
  <c r="S81" i="1"/>
  <c r="Q179" i="1"/>
  <c r="Q66" i="1"/>
  <c r="R90" i="1"/>
  <c r="S53" i="1"/>
  <c r="S84" i="1"/>
  <c r="S179" i="1"/>
  <c r="S158" i="1"/>
  <c r="S65" i="1"/>
  <c r="S106" i="1"/>
  <c r="R123" i="1"/>
  <c r="R167" i="1"/>
  <c r="Q107" i="1"/>
  <c r="Q20" i="1"/>
  <c r="R59" i="1"/>
  <c r="R93" i="1"/>
  <c r="Q166" i="1"/>
  <c r="Q155" i="1"/>
  <c r="R106" i="1"/>
  <c r="R98" i="1"/>
  <c r="Q90" i="1"/>
  <c r="Q82" i="1"/>
  <c r="Q31" i="1"/>
  <c r="Q81" i="1"/>
  <c r="Q53" i="1"/>
  <c r="R76" i="1"/>
  <c r="Q56" i="1"/>
  <c r="Q173" i="1"/>
  <c r="R152" i="1"/>
  <c r="R122" i="1"/>
  <c r="Q96" i="1"/>
  <c r="R52" i="1"/>
  <c r="Q69" i="1"/>
  <c r="Q172" i="1"/>
  <c r="Q163" i="1"/>
  <c r="Q103" i="1"/>
  <c r="Q48" i="1"/>
  <c r="Q38" i="1"/>
  <c r="Q170" i="1"/>
  <c r="Q101" i="1"/>
  <c r="R142" i="1"/>
  <c r="O188" i="1"/>
  <c r="T14" i="1"/>
  <c r="S87" i="1"/>
  <c r="R87" i="1"/>
  <c r="Q116" i="1"/>
  <c r="R115" i="1"/>
  <c r="Q98" i="1"/>
  <c r="R30" i="1"/>
  <c r="Q41" i="1"/>
  <c r="S66" i="1"/>
  <c r="R78" i="1"/>
  <c r="R58" i="1"/>
  <c r="Q45" i="1"/>
  <c r="R143" i="1"/>
  <c r="S31" i="1"/>
  <c r="S114" i="1"/>
  <c r="S69" i="1"/>
  <c r="S56" i="1"/>
  <c r="R68" i="1"/>
  <c r="Q177" i="1"/>
  <c r="Q115" i="1"/>
  <c r="Q131" i="1"/>
  <c r="Q154" i="1"/>
  <c r="Q114" i="1"/>
  <c r="Q112" i="1"/>
  <c r="Q28" i="1"/>
  <c r="Q78" i="1"/>
  <c r="Q117" i="1"/>
  <c r="Q58" i="1"/>
  <c r="S109" i="1"/>
  <c r="R45" i="1"/>
  <c r="R117" i="1"/>
  <c r="R116" i="1"/>
  <c r="R108" i="1"/>
  <c r="R109" i="1"/>
  <c r="R110" i="1"/>
  <c r="Q108" i="1"/>
  <c r="S14" i="1"/>
  <c r="S119" i="1"/>
  <c r="S89" i="1"/>
  <c r="S115" i="1"/>
  <c r="S117" i="1"/>
  <c r="S41" i="1"/>
  <c r="S37" i="1"/>
  <c r="S35" i="1"/>
  <c r="R89" i="1"/>
  <c r="Q100" i="1"/>
  <c r="S177" i="1"/>
  <c r="R138" i="1"/>
  <c r="R28" i="1"/>
  <c r="Q182" i="1"/>
  <c r="Q119" i="1"/>
  <c r="Q47" i="1"/>
  <c r="Q92" i="1"/>
  <c r="Q110" i="1"/>
  <c r="R107" i="1"/>
  <c r="R145" i="1"/>
  <c r="Q118" i="1"/>
  <c r="Q93" i="1"/>
  <c r="S105" i="1"/>
  <c r="S186" i="1"/>
  <c r="S187" i="1"/>
  <c r="R125" i="1"/>
  <c r="Q86" i="1"/>
  <c r="R165" i="1"/>
  <c r="R102" i="1"/>
  <c r="R181" i="1"/>
  <c r="Q68" i="1"/>
  <c r="Q76" i="1"/>
  <c r="S164" i="1"/>
  <c r="R154" i="1"/>
  <c r="R189" i="1"/>
  <c r="S86" i="1"/>
  <c r="S98" i="1"/>
  <c r="S68" i="1"/>
  <c r="S100" i="1"/>
  <c r="S30" i="1"/>
  <c r="S110" i="1"/>
  <c r="S57" i="1"/>
  <c r="R56" i="1"/>
  <c r="Q167" i="1"/>
  <c r="Q55" i="1"/>
  <c r="Q187" i="1"/>
  <c r="Q106" i="1"/>
  <c r="R65" i="1"/>
  <c r="R67" i="1"/>
  <c r="S189" i="1"/>
  <c r="Q89" i="1"/>
  <c r="R119" i="1"/>
  <c r="Q185" i="1"/>
  <c r="R84" i="1"/>
  <c r="Q70" i="1"/>
  <c r="Q102" i="1"/>
  <c r="M46" i="1"/>
  <c r="Q94" i="1"/>
  <c r="Q109" i="1"/>
  <c r="S64" i="1"/>
  <c r="S116" i="1"/>
  <c r="S94" i="1"/>
  <c r="S165" i="1"/>
  <c r="Q99" i="1"/>
  <c r="R55" i="1"/>
  <c r="R33" i="1"/>
  <c r="R57" i="1"/>
  <c r="R82" i="1"/>
  <c r="Q65" i="1"/>
  <c r="Q30" i="1"/>
  <c r="Q37" i="1"/>
  <c r="Q67" i="1"/>
  <c r="R69" i="1"/>
  <c r="Q186" i="1"/>
  <c r="Q165" i="1"/>
  <c r="Q123" i="1"/>
  <c r="R41" i="1"/>
  <c r="Q122" i="1"/>
  <c r="Q52" i="1"/>
  <c r="Q84" i="1"/>
  <c r="R35" i="1"/>
  <c r="Q87" i="1"/>
  <c r="Q158" i="1"/>
  <c r="S43" i="1"/>
  <c r="Q161" i="1"/>
  <c r="R132" i="1"/>
  <c r="Q85" i="1"/>
  <c r="Q57" i="1"/>
  <c r="Q25" i="1"/>
  <c r="R14" i="1"/>
  <c r="Q14" i="1"/>
  <c r="R22" i="1"/>
  <c r="N32" i="1"/>
  <c r="Q33" i="1"/>
  <c r="N134" i="1"/>
  <c r="Q134" i="1" s="1"/>
  <c r="Q135" i="1"/>
  <c r="N127" i="1"/>
  <c r="Q128" i="1"/>
  <c r="N124" i="1"/>
  <c r="Q124" i="1" s="1"/>
  <c r="Q125" i="1"/>
  <c r="N147" i="1"/>
  <c r="Q147" i="1" s="1"/>
  <c r="Q148" i="1"/>
  <c r="N188" i="1"/>
  <c r="Q188" i="1" s="1"/>
  <c r="Q189" i="1"/>
  <c r="N141" i="1"/>
  <c r="Q142" i="1"/>
  <c r="N151" i="1"/>
  <c r="Q151" i="1" s="1"/>
  <c r="Q152" i="1"/>
  <c r="N21" i="1"/>
  <c r="Q21" i="1" s="1"/>
  <c r="Q22" i="1"/>
  <c r="N196" i="1"/>
  <c r="Q196" i="1" s="1"/>
  <c r="Q197" i="1"/>
  <c r="N149" i="1"/>
  <c r="Q149" i="1" s="1"/>
  <c r="Q150" i="1"/>
  <c r="N144" i="1"/>
  <c r="Q144" i="1" s="1"/>
  <c r="Q145" i="1"/>
  <c r="P134" i="1"/>
  <c r="S134" i="1" s="1"/>
  <c r="S135" i="1"/>
  <c r="P149" i="1"/>
  <c r="S149" i="1" s="1"/>
  <c r="S150" i="1"/>
  <c r="T111" i="1"/>
  <c r="S111" i="1"/>
  <c r="T104" i="1"/>
  <c r="S104" i="1"/>
  <c r="T170" i="1"/>
  <c r="S170" i="1"/>
  <c r="P144" i="1"/>
  <c r="S144" i="1" s="1"/>
  <c r="S145" i="1"/>
  <c r="T93" i="1"/>
  <c r="S93" i="1"/>
  <c r="T36" i="1"/>
  <c r="S36" i="1"/>
  <c r="T64" i="1"/>
  <c r="M188" i="1"/>
  <c r="T48" i="1"/>
  <c r="S48" i="1"/>
  <c r="T60" i="1"/>
  <c r="S60" i="1"/>
  <c r="T182" i="1"/>
  <c r="S182" i="1"/>
  <c r="P21" i="1"/>
  <c r="S21" i="1" s="1"/>
  <c r="S22" i="1"/>
  <c r="T118" i="1"/>
  <c r="S118" i="1"/>
  <c r="T164" i="1"/>
  <c r="P196" i="1"/>
  <c r="S196" i="1" s="1"/>
  <c r="S197" i="1"/>
  <c r="P127" i="1"/>
  <c r="S128" i="1"/>
  <c r="P32" i="1"/>
  <c r="S33" i="1"/>
  <c r="T180" i="1"/>
  <c r="S180" i="1"/>
  <c r="T172" i="1"/>
  <c r="S172" i="1"/>
  <c r="T154" i="1"/>
  <c r="S154" i="1"/>
  <c r="P147" i="1"/>
  <c r="S147" i="1" s="1"/>
  <c r="S148" i="1"/>
  <c r="T105" i="1"/>
  <c r="M183" i="1"/>
  <c r="N183" i="1"/>
  <c r="L46" i="1"/>
  <c r="T59" i="1"/>
  <c r="O144" i="1"/>
  <c r="L24" i="1"/>
  <c r="O156" i="1"/>
  <c r="O124" i="1"/>
  <c r="O196" i="1"/>
  <c r="T173" i="1"/>
  <c r="O183" i="1"/>
  <c r="O149" i="1"/>
  <c r="T81" i="1"/>
  <c r="N27" i="1"/>
  <c r="O134" i="1"/>
  <c r="O151" i="1"/>
  <c r="T44" i="1"/>
  <c r="O160" i="1"/>
  <c r="O32" i="1"/>
  <c r="N34" i="1"/>
  <c r="O40" i="1"/>
  <c r="T101" i="1"/>
  <c r="T26" i="1"/>
  <c r="O175" i="1"/>
  <c r="O147" i="1"/>
  <c r="O13" i="1"/>
  <c r="M120" i="1"/>
  <c r="N175" i="1"/>
  <c r="N130" i="1"/>
  <c r="T94" i="1"/>
  <c r="T87" i="1"/>
  <c r="T102" i="1"/>
  <c r="T109" i="1"/>
  <c r="N156" i="1"/>
  <c r="T71" i="1"/>
  <c r="N16" i="1"/>
  <c r="L130" i="1"/>
  <c r="L129" i="1" s="1"/>
  <c r="L168" i="1"/>
  <c r="T189" i="1"/>
  <c r="L160" i="1"/>
  <c r="T161" i="1"/>
  <c r="T187" i="1"/>
  <c r="T148" i="1"/>
  <c r="T103" i="1"/>
  <c r="T181" i="1"/>
  <c r="L178" i="1"/>
  <c r="T96" i="1"/>
  <c r="T85" i="1"/>
  <c r="T121" i="1"/>
  <c r="T167" i="1"/>
  <c r="N40" i="1"/>
  <c r="T66" i="1"/>
  <c r="P156" i="1"/>
  <c r="T84" i="1"/>
  <c r="M113" i="1"/>
  <c r="T20" i="1"/>
  <c r="T163" i="1"/>
  <c r="T67" i="1"/>
  <c r="T38" i="1"/>
  <c r="P152" i="1"/>
  <c r="M178" i="1"/>
  <c r="O51" i="1"/>
  <c r="L153" i="1"/>
  <c r="L146" i="1" s="1"/>
  <c r="O178" i="1"/>
  <c r="Y178" i="1" s="1"/>
  <c r="T92" i="1"/>
  <c r="P55" i="1"/>
  <c r="O113" i="1"/>
  <c r="T65" i="1"/>
  <c r="P188" i="1"/>
  <c r="S188" i="1" s="1"/>
  <c r="P140" i="1"/>
  <c r="P123" i="1"/>
  <c r="N120" i="1"/>
  <c r="T162" i="1"/>
  <c r="T42" i="1"/>
  <c r="T106" i="1"/>
  <c r="O130" i="1"/>
  <c r="L183" i="1"/>
  <c r="M27" i="1"/>
  <c r="T89" i="1"/>
  <c r="T83" i="1"/>
  <c r="L141" i="1"/>
  <c r="R141" i="1" s="1"/>
  <c r="L63" i="1"/>
  <c r="T185" i="1"/>
  <c r="T97" i="1"/>
  <c r="T99" i="1"/>
  <c r="P155" i="1"/>
  <c r="T157" i="1"/>
  <c r="T43" i="1"/>
  <c r="N160" i="1"/>
  <c r="N51" i="1"/>
  <c r="T18" i="1"/>
  <c r="T177" i="1"/>
  <c r="L175" i="1"/>
  <c r="M137" i="1"/>
  <c r="M136" i="1" s="1"/>
  <c r="M63" i="1"/>
  <c r="T29" i="1"/>
  <c r="O168" i="1"/>
  <c r="Y168" i="1" s="1"/>
  <c r="M160" i="1"/>
  <c r="O137" i="1"/>
  <c r="O27" i="1"/>
  <c r="N168" i="1"/>
  <c r="N178" i="1"/>
  <c r="N46" i="1"/>
  <c r="P171" i="1"/>
  <c r="M168" i="1"/>
  <c r="N113" i="1"/>
  <c r="T77" i="1"/>
  <c r="M34" i="1"/>
  <c r="N137" i="1"/>
  <c r="N63" i="1"/>
  <c r="O46" i="1"/>
  <c r="T70" i="1"/>
  <c r="M72" i="1"/>
  <c r="T90" i="1"/>
  <c r="O63" i="1"/>
  <c r="M40" i="1"/>
  <c r="L137" i="1"/>
  <c r="M51" i="1"/>
  <c r="M50" i="1" s="1"/>
  <c r="M49" i="1" s="1"/>
  <c r="D16" i="3" s="1"/>
  <c r="M16" i="1"/>
  <c r="M13" i="1" s="1"/>
  <c r="T88" i="1"/>
  <c r="O120" i="1"/>
  <c r="M192" i="1"/>
  <c r="M191" i="1" s="1"/>
  <c r="D21" i="3" s="1"/>
  <c r="L16" i="1"/>
  <c r="L13" i="1" s="1"/>
  <c r="P138" i="1"/>
  <c r="P166" i="1"/>
  <c r="O34" i="1"/>
  <c r="N24" i="1"/>
  <c r="M153" i="1"/>
  <c r="M146" i="1" s="1"/>
  <c r="P52" i="1"/>
  <c r="L156" i="1"/>
  <c r="L40" i="1"/>
  <c r="T39" i="1"/>
  <c r="T179" i="1"/>
  <c r="T54" i="1"/>
  <c r="T91" i="1"/>
  <c r="T197" i="1"/>
  <c r="T143" i="1"/>
  <c r="T165" i="1"/>
  <c r="P125" i="1"/>
  <c r="T139" i="1"/>
  <c r="M175" i="1"/>
  <c r="N153" i="1"/>
  <c r="P132" i="1"/>
  <c r="P175" i="1"/>
  <c r="T17" i="1"/>
  <c r="T95" i="1"/>
  <c r="M156" i="1"/>
  <c r="P131" i="1"/>
  <c r="P112" i="1"/>
  <c r="L72" i="1"/>
  <c r="T176" i="1"/>
  <c r="T115" i="1"/>
  <c r="P46" i="1"/>
  <c r="L51" i="1"/>
  <c r="L50" i="1" s="1"/>
  <c r="L27" i="1"/>
  <c r="T68" i="1"/>
  <c r="T35" i="1"/>
  <c r="T58" i="1"/>
  <c r="P16" i="1"/>
  <c r="T41" i="1"/>
  <c r="T117" i="1"/>
  <c r="T45" i="1"/>
  <c r="T30" i="1"/>
  <c r="T37" i="1"/>
  <c r="L34" i="1"/>
  <c r="T119" i="1"/>
  <c r="T108" i="1"/>
  <c r="T122" i="1"/>
  <c r="L120" i="1"/>
  <c r="T142" i="1"/>
  <c r="P183" i="1"/>
  <c r="T184" i="1"/>
  <c r="T86" i="1"/>
  <c r="T19" i="1"/>
  <c r="T158" i="1"/>
  <c r="T22" i="1"/>
  <c r="P113" i="1"/>
  <c r="T53" i="1"/>
  <c r="P27" i="1"/>
  <c r="S27" i="1" s="1"/>
  <c r="T57" i="1"/>
  <c r="T56" i="1"/>
  <c r="T100" i="1"/>
  <c r="T110" i="1"/>
  <c r="L32" i="1"/>
  <c r="T33" i="1"/>
  <c r="T98" i="1"/>
  <c r="T76" i="1"/>
  <c r="P141" i="1"/>
  <c r="T31" i="1"/>
  <c r="T190" i="1"/>
  <c r="T78" i="1"/>
  <c r="L113" i="1"/>
  <c r="L192" i="1"/>
  <c r="U191" i="1" s="1"/>
  <c r="T82" i="1"/>
  <c r="T114" i="1"/>
  <c r="P40" i="1"/>
  <c r="T150" i="1"/>
  <c r="T28" i="1"/>
  <c r="T69" i="1"/>
  <c r="P34" i="1"/>
  <c r="L127" i="1"/>
  <c r="T128" i="1"/>
  <c r="T135" i="1"/>
  <c r="P63" i="1"/>
  <c r="S63" i="1" s="1"/>
  <c r="T145" i="1"/>
  <c r="P178" i="1"/>
  <c r="T133" i="1"/>
  <c r="T47" i="1"/>
  <c r="T169" i="1"/>
  <c r="S40" i="1" l="1"/>
  <c r="Y130" i="1"/>
  <c r="S183" i="1"/>
  <c r="R127" i="1"/>
  <c r="Y127" i="1"/>
  <c r="Y113" i="1"/>
  <c r="Y13" i="1"/>
  <c r="Y175" i="1"/>
  <c r="Y32" i="1"/>
  <c r="Y160" i="1"/>
  <c r="Y183" i="1"/>
  <c r="Q160" i="1"/>
  <c r="Q46" i="1"/>
  <c r="Y16" i="1"/>
  <c r="R46" i="1"/>
  <c r="Y46" i="1"/>
  <c r="R147" i="1"/>
  <c r="Y147" i="1"/>
  <c r="R151" i="1"/>
  <c r="Y151" i="1"/>
  <c r="R124" i="1"/>
  <c r="Y124" i="1"/>
  <c r="Y141" i="1"/>
  <c r="R188" i="1"/>
  <c r="Y188" i="1"/>
  <c r="R134" i="1"/>
  <c r="Y134" i="1"/>
  <c r="Y156" i="1"/>
  <c r="R149" i="1"/>
  <c r="Y149" i="1"/>
  <c r="Y34" i="1"/>
  <c r="Y51" i="1"/>
  <c r="R196" i="1"/>
  <c r="Y196" i="1"/>
  <c r="Y63" i="1"/>
  <c r="Y27" i="1"/>
  <c r="Y120" i="1"/>
  <c r="Y137" i="1"/>
  <c r="Y40" i="1"/>
  <c r="R144" i="1"/>
  <c r="Y144" i="1"/>
  <c r="Y153" i="1"/>
  <c r="S34" i="1"/>
  <c r="T149" i="1"/>
  <c r="S156" i="1"/>
  <c r="S178" i="1"/>
  <c r="Q63" i="1"/>
  <c r="R178" i="1"/>
  <c r="R130" i="1"/>
  <c r="R34" i="1"/>
  <c r="Q27" i="1"/>
  <c r="T196" i="1"/>
  <c r="T134" i="1"/>
  <c r="T21" i="1"/>
  <c r="Q24" i="1"/>
  <c r="R168" i="1"/>
  <c r="R40" i="1"/>
  <c r="S32" i="1"/>
  <c r="Q141" i="1"/>
  <c r="Q127" i="1"/>
  <c r="S113" i="1"/>
  <c r="R113" i="1"/>
  <c r="Q40" i="1"/>
  <c r="Q175" i="1"/>
  <c r="Q34" i="1"/>
  <c r="R32" i="1"/>
  <c r="S127" i="1"/>
  <c r="Q156" i="1"/>
  <c r="R13" i="1"/>
  <c r="R160" i="1"/>
  <c r="Q183" i="1"/>
  <c r="R16" i="1"/>
  <c r="Q168" i="1"/>
  <c r="Q120" i="1"/>
  <c r="Q32" i="1"/>
  <c r="R153" i="1"/>
  <c r="R63" i="1"/>
  <c r="R27" i="1"/>
  <c r="R175" i="1"/>
  <c r="S175" i="1"/>
  <c r="R120" i="1"/>
  <c r="Q113" i="1"/>
  <c r="R137" i="1"/>
  <c r="T144" i="1"/>
  <c r="R51" i="1"/>
  <c r="R156" i="1"/>
  <c r="N50" i="1"/>
  <c r="Q51" i="1"/>
  <c r="N129" i="1"/>
  <c r="Q129" i="1" s="1"/>
  <c r="Q130" i="1"/>
  <c r="N146" i="1"/>
  <c r="Q146" i="1" s="1"/>
  <c r="Q153" i="1"/>
  <c r="N174" i="1"/>
  <c r="Q178" i="1"/>
  <c r="N136" i="1"/>
  <c r="Q137" i="1"/>
  <c r="F14" i="3"/>
  <c r="N13" i="1"/>
  <c r="Q13" i="1" s="1"/>
  <c r="Q16" i="1"/>
  <c r="T132" i="1"/>
  <c r="S132" i="1"/>
  <c r="T112" i="1"/>
  <c r="S112" i="1"/>
  <c r="T131" i="1"/>
  <c r="S131" i="1"/>
  <c r="T166" i="1"/>
  <c r="S166" i="1"/>
  <c r="O174" i="1"/>
  <c r="R183" i="1"/>
  <c r="T141" i="1"/>
  <c r="S141" i="1"/>
  <c r="P13" i="1"/>
  <c r="S13" i="1" s="1"/>
  <c r="S16" i="1"/>
  <c r="T155" i="1"/>
  <c r="S155" i="1"/>
  <c r="P151" i="1"/>
  <c r="S152" i="1"/>
  <c r="T32" i="1"/>
  <c r="P124" i="1"/>
  <c r="S125" i="1"/>
  <c r="T138" i="1"/>
  <c r="S138" i="1"/>
  <c r="T123" i="1"/>
  <c r="S123" i="1"/>
  <c r="T188" i="1"/>
  <c r="T171" i="1"/>
  <c r="S171" i="1"/>
  <c r="T55" i="1"/>
  <c r="S55" i="1"/>
  <c r="T46" i="1"/>
  <c r="S46" i="1"/>
  <c r="T127" i="1"/>
  <c r="T52" i="1"/>
  <c r="S52" i="1"/>
  <c r="T140" i="1"/>
  <c r="S140" i="1"/>
  <c r="T147" i="1"/>
  <c r="O136" i="1"/>
  <c r="O50" i="1"/>
  <c r="O146" i="1"/>
  <c r="O159" i="1"/>
  <c r="O129" i="1"/>
  <c r="D14" i="3"/>
  <c r="C14" i="3"/>
  <c r="T156" i="1"/>
  <c r="N23" i="1"/>
  <c r="P120" i="1"/>
  <c r="S120" i="1" s="1"/>
  <c r="L159" i="1"/>
  <c r="C19" i="3" s="1"/>
  <c r="L136" i="1"/>
  <c r="L126" i="1" s="1"/>
  <c r="C18" i="3" s="1"/>
  <c r="M174" i="1"/>
  <c r="D20" i="3" s="1"/>
  <c r="T178" i="1"/>
  <c r="T40" i="1"/>
  <c r="P168" i="1"/>
  <c r="T125" i="1"/>
  <c r="N159" i="1"/>
  <c r="M126" i="1"/>
  <c r="D18" i="3" s="1"/>
  <c r="T152" i="1"/>
  <c r="M62" i="1"/>
  <c r="M61" i="1" s="1"/>
  <c r="D17" i="3" s="1"/>
  <c r="M159" i="1"/>
  <c r="D19" i="3" s="1"/>
  <c r="L174" i="1"/>
  <c r="C20" i="3" s="1"/>
  <c r="P160" i="1"/>
  <c r="T175" i="1"/>
  <c r="P153" i="1"/>
  <c r="T183" i="1"/>
  <c r="P51" i="1"/>
  <c r="P130" i="1"/>
  <c r="L62" i="1"/>
  <c r="L61" i="1" s="1"/>
  <c r="C17" i="3" s="1"/>
  <c r="P137" i="1"/>
  <c r="T27" i="1"/>
  <c r="T16" i="1"/>
  <c r="T34" i="1"/>
  <c r="T63" i="1"/>
  <c r="L191" i="1"/>
  <c r="C21" i="3" s="1"/>
  <c r="T113" i="1"/>
  <c r="P174" i="1"/>
  <c r="L23" i="1"/>
  <c r="C15" i="3" s="1"/>
  <c r="L49" i="1"/>
  <c r="C16" i="3" s="1"/>
  <c r="Y159" i="1" l="1"/>
  <c r="Y136" i="1"/>
  <c r="R50" i="1"/>
  <c r="Y50" i="1"/>
  <c r="R129" i="1"/>
  <c r="Y129" i="1"/>
  <c r="R146" i="1"/>
  <c r="Y146" i="1"/>
  <c r="Y174" i="1"/>
  <c r="R136" i="1"/>
  <c r="Q136" i="1"/>
  <c r="R174" i="1"/>
  <c r="I14" i="3"/>
  <c r="S174" i="1"/>
  <c r="R159" i="1"/>
  <c r="N126" i="1"/>
  <c r="Q126" i="1" s="1"/>
  <c r="E14" i="3"/>
  <c r="H14" i="3" s="1"/>
  <c r="E15" i="3"/>
  <c r="H15" i="3" s="1"/>
  <c r="Q23" i="1"/>
  <c r="E20" i="3"/>
  <c r="H20" i="3" s="1"/>
  <c r="Q174" i="1"/>
  <c r="F20" i="3"/>
  <c r="I20" i="3" s="1"/>
  <c r="E19" i="3"/>
  <c r="H19" i="3" s="1"/>
  <c r="Q159" i="1"/>
  <c r="N49" i="1"/>
  <c r="Q50" i="1"/>
  <c r="G14" i="3"/>
  <c r="J14" i="3" s="1"/>
  <c r="P146" i="1"/>
  <c r="S153" i="1"/>
  <c r="P129" i="1"/>
  <c r="S130" i="1"/>
  <c r="T124" i="1"/>
  <c r="S124" i="1"/>
  <c r="T120" i="1"/>
  <c r="P50" i="1"/>
  <c r="T50" i="1" s="1"/>
  <c r="S51" i="1"/>
  <c r="P159" i="1"/>
  <c r="S159" i="1" s="1"/>
  <c r="S160" i="1"/>
  <c r="T168" i="1"/>
  <c r="S168" i="1"/>
  <c r="T137" i="1"/>
  <c r="S137" i="1"/>
  <c r="T13" i="1"/>
  <c r="T151" i="1"/>
  <c r="S151" i="1"/>
  <c r="O126" i="1"/>
  <c r="L207" i="1"/>
  <c r="F19" i="3"/>
  <c r="I19" i="3" s="1"/>
  <c r="O49" i="1"/>
  <c r="C23" i="3"/>
  <c r="T153" i="1"/>
  <c r="T160" i="1"/>
  <c r="T130" i="1"/>
  <c r="P136" i="1"/>
  <c r="T51" i="1"/>
  <c r="T174" i="1"/>
  <c r="G20" i="3"/>
  <c r="J20" i="3" s="1"/>
  <c r="R49" i="1" l="1"/>
  <c r="Y49" i="1"/>
  <c r="R126" i="1"/>
  <c r="Y126" i="1"/>
  <c r="L12" i="1"/>
  <c r="U200" i="1"/>
  <c r="E18" i="3"/>
  <c r="G19" i="3"/>
  <c r="J19" i="3" s="1"/>
  <c r="E16" i="3"/>
  <c r="H16" i="3" s="1"/>
  <c r="Q49" i="1"/>
  <c r="T159" i="1"/>
  <c r="T129" i="1"/>
  <c r="S129" i="1"/>
  <c r="T136" i="1"/>
  <c r="S136" i="1"/>
  <c r="T146" i="1"/>
  <c r="S146" i="1"/>
  <c r="P49" i="1"/>
  <c r="S50" i="1"/>
  <c r="F16" i="3"/>
  <c r="I16" i="3" s="1"/>
  <c r="F18" i="3"/>
  <c r="P126" i="1"/>
  <c r="S126" i="1" s="1"/>
  <c r="I18" i="3" l="1"/>
  <c r="H18" i="3"/>
  <c r="G16" i="3"/>
  <c r="J16" i="3" s="1"/>
  <c r="S49" i="1"/>
  <c r="T49" i="1"/>
  <c r="G18" i="3"/>
  <c r="J18" i="3" s="1"/>
  <c r="T126" i="1"/>
  <c r="M25" i="1" l="1"/>
  <c r="M24" i="1" s="1"/>
  <c r="M23" i="1" s="1"/>
  <c r="H25" i="1"/>
  <c r="I25" i="1" s="1"/>
  <c r="P25" i="1" s="1"/>
  <c r="O25" i="1" l="1"/>
  <c r="P24" i="1"/>
  <c r="T25" i="1"/>
  <c r="S25" i="1"/>
  <c r="M207" i="1"/>
  <c r="M12" i="1" s="1"/>
  <c r="D15" i="3"/>
  <c r="D23" i="3" s="1"/>
  <c r="O24" i="1" l="1"/>
  <c r="Y25" i="1"/>
  <c r="R25" i="1"/>
  <c r="R24" i="1"/>
  <c r="S24" i="1"/>
  <c r="P23" i="1"/>
  <c r="T24" i="1"/>
  <c r="O23" i="1" l="1"/>
  <c r="Y24" i="1"/>
  <c r="G15" i="3"/>
  <c r="S23" i="1"/>
  <c r="T23" i="1"/>
  <c r="Y23" i="1" l="1"/>
  <c r="R23" i="1"/>
  <c r="F15" i="3"/>
  <c r="I15" i="3" s="1"/>
  <c r="J15" i="3"/>
  <c r="H74" i="1" l="1"/>
  <c r="N74" i="1"/>
  <c r="Q74" i="1" s="1"/>
  <c r="H75" i="1"/>
  <c r="O75" i="1" s="1"/>
  <c r="P75" i="1" s="1"/>
  <c r="N75" i="1"/>
  <c r="Q75" i="1" s="1"/>
  <c r="H73" i="1"/>
  <c r="N73" i="1"/>
  <c r="H79" i="1"/>
  <c r="N79" i="1"/>
  <c r="Q79" i="1" s="1"/>
  <c r="H80" i="1"/>
  <c r="N80" i="1"/>
  <c r="Q80" i="1" s="1"/>
  <c r="I73" i="1" l="1"/>
  <c r="P73" i="1" s="1"/>
  <c r="O73" i="1"/>
  <c r="I79" i="1"/>
  <c r="P79" i="1" s="1"/>
  <c r="O79" i="1"/>
  <c r="Q73" i="1"/>
  <c r="N72" i="1"/>
  <c r="I75" i="1"/>
  <c r="I80" i="1"/>
  <c r="P80" i="1" s="1"/>
  <c r="O80" i="1"/>
  <c r="I74" i="1"/>
  <c r="P74" i="1" s="1"/>
  <c r="O74" i="1"/>
  <c r="Y75" i="1" l="1"/>
  <c r="R75" i="1"/>
  <c r="P72" i="1"/>
  <c r="Y79" i="1"/>
  <c r="R79" i="1"/>
  <c r="N62" i="1"/>
  <c r="Q72" i="1"/>
  <c r="Y74" i="1"/>
  <c r="R74" i="1"/>
  <c r="S74" i="1"/>
  <c r="T74" i="1"/>
  <c r="T79" i="1"/>
  <c r="S79" i="1"/>
  <c r="R80" i="1"/>
  <c r="Y80" i="1"/>
  <c r="Y73" i="1"/>
  <c r="O72" i="1"/>
  <c r="R73" i="1"/>
  <c r="S80" i="1"/>
  <c r="T80" i="1"/>
  <c r="S73" i="1"/>
  <c r="T73" i="1"/>
  <c r="P62" i="1" l="1"/>
  <c r="S72" i="1"/>
  <c r="T72" i="1"/>
  <c r="N61" i="1"/>
  <c r="Q62" i="1"/>
  <c r="T75" i="1"/>
  <c r="S75" i="1"/>
  <c r="Y72" i="1"/>
  <c r="O62" i="1"/>
  <c r="R72" i="1"/>
  <c r="Q61" i="1" l="1"/>
  <c r="E17" i="3"/>
  <c r="Y62" i="1"/>
  <c r="O61" i="1"/>
  <c r="R62" i="1"/>
  <c r="P61" i="1"/>
  <c r="S62" i="1"/>
  <c r="T62" i="1"/>
  <c r="T61" i="1" l="1"/>
  <c r="G17" i="3"/>
  <c r="S61" i="1"/>
  <c r="R61" i="1"/>
  <c r="Y61" i="1"/>
  <c r="F17" i="3"/>
  <c r="F15" i="15" s="1"/>
  <c r="H17" i="3"/>
  <c r="F16" i="15" l="1"/>
  <c r="C18" i="15"/>
  <c r="C19" i="15" s="1"/>
  <c r="C21" i="15" s="1"/>
  <c r="E19" i="15" s="1"/>
  <c r="G193" i="1" s="1"/>
  <c r="I17" i="3"/>
  <c r="J17" i="3"/>
  <c r="G195" i="1" l="1"/>
  <c r="G194" i="1"/>
  <c r="N193" i="1"/>
  <c r="H193" i="1"/>
  <c r="I193" i="1" s="1"/>
  <c r="P193" i="1" s="1"/>
  <c r="S193" i="1" l="1"/>
  <c r="T193" i="1"/>
  <c r="O193" i="1"/>
  <c r="Q193" i="1"/>
  <c r="N194" i="1"/>
  <c r="H194" i="1"/>
  <c r="I194" i="1" s="1"/>
  <c r="P194" i="1" s="1"/>
  <c r="N195" i="1"/>
  <c r="H195" i="1"/>
  <c r="I195" i="1" s="1"/>
  <c r="P195" i="1" s="1"/>
  <c r="P192" i="1" l="1"/>
  <c r="P191" i="1" s="1"/>
  <c r="Y193" i="1"/>
  <c r="R193" i="1"/>
  <c r="O194" i="1"/>
  <c r="Q194" i="1"/>
  <c r="T195" i="1"/>
  <c r="S195" i="1"/>
  <c r="S194" i="1"/>
  <c r="T194" i="1"/>
  <c r="O195" i="1"/>
  <c r="Q195" i="1"/>
  <c r="N192" i="1"/>
  <c r="S192" i="1" l="1"/>
  <c r="T192" i="1"/>
  <c r="Y194" i="1"/>
  <c r="R194" i="1"/>
  <c r="Q192" i="1"/>
  <c r="N191" i="1"/>
  <c r="O192" i="1"/>
  <c r="Y195" i="1"/>
  <c r="R195" i="1"/>
  <c r="G21" i="3"/>
  <c r="S191" i="1"/>
  <c r="T191" i="1"/>
  <c r="P207" i="1"/>
  <c r="Q191" i="1" l="1"/>
  <c r="E21" i="3"/>
  <c r="N207" i="1"/>
  <c r="P12" i="1"/>
  <c r="S12" i="1" s="1"/>
  <c r="T207" i="1"/>
  <c r="S207" i="1"/>
  <c r="J21" i="3"/>
  <c r="G23" i="3"/>
  <c r="J23" i="3" s="1"/>
  <c r="Y192" i="1"/>
  <c r="R192" i="1"/>
  <c r="O191" i="1"/>
  <c r="V191" i="1" l="1"/>
  <c r="V193" i="1" s="1"/>
  <c r="N12" i="1"/>
  <c r="Q207" i="1"/>
  <c r="Y191" i="1"/>
  <c r="F21" i="3"/>
  <c r="R191" i="1"/>
  <c r="O207" i="1"/>
  <c r="H21" i="3"/>
  <c r="E23" i="3"/>
  <c r="H23" i="3" s="1"/>
  <c r="Y207" i="1" l="1"/>
  <c r="O12" i="1"/>
  <c r="R207" i="1"/>
  <c r="Q12" i="1"/>
  <c r="U197" i="1"/>
  <c r="I21" i="3"/>
  <c r="F23" i="3"/>
  <c r="I23" i="3" s="1"/>
  <c r="R12" i="1" l="1"/>
  <c r="Y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Izabela Pereira Lima Santos</author>
  </authors>
  <commentList>
    <comment ref="C16" authorId="0" shapeId="0" xr:uid="{6A7B33F5-E7F1-4EEF-BEA8-4186E3BFF5E9}">
      <text>
        <r>
          <rPr>
            <b/>
            <sz val="9"/>
            <color indexed="81"/>
            <rFont val="Segoe UI"/>
            <family val="2"/>
          </rPr>
          <t>Izabela Pereira Lima Santos:</t>
        </r>
        <r>
          <rPr>
            <sz val="9"/>
            <color indexed="81"/>
            <rFont val="Segoe UI"/>
            <family val="2"/>
          </rPr>
          <t xml:space="preserve">
Está medindo corte ou aterro?</t>
        </r>
      </text>
    </comment>
  </commentList>
</comments>
</file>

<file path=xl/sharedStrings.xml><?xml version="1.0" encoding="utf-8"?>
<sst xmlns="http://schemas.openxmlformats.org/spreadsheetml/2006/main" count="2948" uniqueCount="1120">
  <si>
    <t>NOVATEC Construções e Empeendimentos Ltda.
Rua José de Alencar, nº  916 sala 703 Ilha do Leite Recife-PE CNPJ : 00.338.885/0001-33</t>
  </si>
  <si>
    <t>OBJETO: Seleção da melhor proposta para a execução das obras e serviços de construção da “Rodovia dos Trabalhadores”, que integrará a Rodovia SE-065 à Rodovia BR-101</t>
  </si>
  <si>
    <t>Local:</t>
  </si>
  <si>
    <t>Município de São Cristóvão/ SE</t>
  </si>
  <si>
    <t>PERÍODO:</t>
  </si>
  <si>
    <t>CONTRATO:</t>
  </si>
  <si>
    <t>BM:</t>
  </si>
  <si>
    <t xml:space="preserve">PLANILHA RESUMO </t>
  </si>
  <si>
    <t>Entidade:</t>
  </si>
  <si>
    <t>Prefeitura Municipal de São Cristóvão</t>
  </si>
  <si>
    <t>EDITAL:</t>
  </si>
  <si>
    <t>Concorrência Nº 001/2023</t>
  </si>
  <si>
    <t>ITEM</t>
  </si>
  <si>
    <t>DESCRIÇÃO</t>
  </si>
  <si>
    <t>CONTRATADO</t>
  </si>
  <si>
    <t>ACUM. ANTERIOR</t>
  </si>
  <si>
    <t>MEDIDO MÊS</t>
  </si>
  <si>
    <t>ACUM. ATÉ PERÍODO</t>
  </si>
  <si>
    <t>SALDO</t>
  </si>
  <si>
    <t>(%) DO PERÍODO</t>
  </si>
  <si>
    <t>(%) ACUMULADO</t>
  </si>
  <si>
    <t>(%) À MEDIR</t>
  </si>
  <si>
    <t>TOTAL DO ORÇAMENTO</t>
  </si>
  <si>
    <t>BOLETIM DE MEDIÇÃO</t>
  </si>
  <si>
    <t>BM Nº:</t>
  </si>
  <si>
    <t>CT 054/23</t>
  </si>
  <si>
    <t>Período</t>
  </si>
  <si>
    <t>CÓDIGO</t>
  </si>
  <si>
    <t>UN</t>
  </si>
  <si>
    <t>QUANTIDADE</t>
  </si>
  <si>
    <t>ADITIVO</t>
  </si>
  <si>
    <t>MEMORIA DE CÁLCULO</t>
  </si>
  <si>
    <t>TOTAL</t>
  </si>
  <si>
    <t>OBSERVAÇÃO</t>
  </si>
  <si>
    <t>QTD</t>
  </si>
  <si>
    <t>VALOR</t>
  </si>
  <si>
    <t>01</t>
  </si>
  <si>
    <t>SERVIÇOS PRELIMINARES</t>
  </si>
  <si>
    <t>01.01</t>
  </si>
  <si>
    <t>PLACA DA OBRA</t>
  </si>
  <si>
    <t>01.01.001</t>
  </si>
  <si>
    <t>0051 / ORSE</t>
  </si>
  <si>
    <t>Placa de obra em chapa aço galvanizado, instalada</t>
  </si>
  <si>
    <t>m2</t>
  </si>
  <si>
    <t>01.02</t>
  </si>
  <si>
    <t>SINALIZAÇÃO PROVISÓRIA</t>
  </si>
  <si>
    <t/>
  </si>
  <si>
    <t>01.02.001</t>
  </si>
  <si>
    <t>10712 / ORSE</t>
  </si>
  <si>
    <t>Confecção de placa de sinalização totalmente refletiva</t>
  </si>
  <si>
    <t>01.02.002</t>
  </si>
  <si>
    <t>10808 / ORSE</t>
  </si>
  <si>
    <t>Confecção suporte e travessa para placa de sinalização</t>
  </si>
  <si>
    <t>un</t>
  </si>
  <si>
    <t>01.02.003</t>
  </si>
  <si>
    <t>5158 / ORSE</t>
  </si>
  <si>
    <t>Sinalização Diurna com Tela tapume em pvc - 10 usos</t>
  </si>
  <si>
    <t>m</t>
  </si>
  <si>
    <t>Conforme Relatório</t>
  </si>
  <si>
    <t>01.02.004</t>
  </si>
  <si>
    <t>5156 / ORSE</t>
  </si>
  <si>
    <t>Sinalização noturna com tela tapume pvc, balde plástico fiação e lâmpada, reutilização 7 vezes</t>
  </si>
  <si>
    <t>01.03</t>
  </si>
  <si>
    <t>INTERFERÊNCIAS</t>
  </si>
  <si>
    <t>01.03.001</t>
  </si>
  <si>
    <t>3053 / ORSE</t>
  </si>
  <si>
    <t>Deslocamento de poste de concreto armado duplo T (DT) ou circular de 9 a 12m</t>
  </si>
  <si>
    <t>02</t>
  </si>
  <si>
    <t>CANTEIRO DA OBRA</t>
  </si>
  <si>
    <t>02.01</t>
  </si>
  <si>
    <t>LIMPEZA DE TERRENO</t>
  </si>
  <si>
    <t>02.01.001</t>
  </si>
  <si>
    <t>0004 / ORSE</t>
  </si>
  <si>
    <t>Limpeza mecanizada do terreno c/ trator esteira (vegetaç ão rasteira) inclusive carga e transporte - dmt até 1 km</t>
  </si>
  <si>
    <t>02.01.002</t>
  </si>
  <si>
    <t>4635 / ORSE</t>
  </si>
  <si>
    <t>Compactação de material de bota fora, com rolo vibratóri o pé de carneiro, sem controle do grau de compactação</t>
  </si>
  <si>
    <t>m3</t>
  </si>
  <si>
    <t>02.02</t>
  </si>
  <si>
    <t>REVESTIMENTO PRIMÁRIO e= 0,12m</t>
  </si>
  <si>
    <t>02.02.001</t>
  </si>
  <si>
    <t>11722 / ORSE</t>
  </si>
  <si>
    <t>Material para sub-base, cbr&gt;20,  adquirido solto na jazi da, inclusive carga, exclusive transporte</t>
  </si>
  <si>
    <t>02.02.002</t>
  </si>
  <si>
    <t>Transporte com caminhão basculante de 10 m³ - rodovia em leito natural (SICRO 5914359 JULHO/2022)</t>
  </si>
  <si>
    <t>t.km</t>
  </si>
  <si>
    <t>02.02.003</t>
  </si>
  <si>
    <t>Transporte com caminhão basculante de 10 m³ - rodovia em rodovia pavimentada (SICRO 5914389 JULHO/2022)</t>
  </si>
  <si>
    <t>02.02.004</t>
  </si>
  <si>
    <t>2521 / ORSE</t>
  </si>
  <si>
    <t>Compactação de aterros, com rolo vibratório pé de carnei ro, a 95% do proctor normal</t>
  </si>
  <si>
    <t>02.03</t>
  </si>
  <si>
    <t>TAPUME</t>
  </si>
  <si>
    <t>02.03.001</t>
  </si>
  <si>
    <t>9142 / ORSE</t>
  </si>
  <si>
    <t>Tapume em chapa OSB LP (2,20x1,22m), esp = 10mm (1 uso)</t>
  </si>
  <si>
    <t>02.04</t>
  </si>
  <si>
    <t>BARRACÕES</t>
  </si>
  <si>
    <t>02.04.001</t>
  </si>
  <si>
    <t>0054 / ORSE</t>
  </si>
  <si>
    <t>Barracão para escritório de obra porte médio s=43,56m2 c om materiais novos</t>
  </si>
  <si>
    <t>02.04.002</t>
  </si>
  <si>
    <t>0062 / ORSE</t>
  </si>
  <si>
    <t>Barracão fechado porte pequeno para depósito de cimento e almoxarifado (s=38,72 m2) com materiais novos</t>
  </si>
  <si>
    <t>02.04.003</t>
  </si>
  <si>
    <t>11703 / ORSE</t>
  </si>
  <si>
    <t>Barracão aberto para apoio à produção (carpintaria, cent ral de armação, oficina, etc.) c/ tesouras, telha 4mm, p iso em concreto desempolado</t>
  </si>
  <si>
    <t>02.04.004</t>
  </si>
  <si>
    <t>0061 / ORSE</t>
  </si>
  <si>
    <t>Barracão aberto para refeitório de obra (capacidade 24 r efeições simultâneas)-s=61,60m2 com materiais novos</t>
  </si>
  <si>
    <t>02.04.005</t>
  </si>
  <si>
    <t>10184 / ORSE</t>
  </si>
  <si>
    <t>Barracão para banheiro e vestiário de obra, s=35,10m², c apacidade 20 operários com materiais novos</t>
  </si>
  <si>
    <t>02.05</t>
  </si>
  <si>
    <t>LIGAÇÕES PROVISÓRIAS</t>
  </si>
  <si>
    <t>02.05.001</t>
  </si>
  <si>
    <t>6096 / ORSE</t>
  </si>
  <si>
    <t>Ligação Predial de Água em Mureta de Concreto, Provisóri a ou Definitiva, com Fornecimento de Material, inclusive Mureta e Hidrômetro, Rede DN 50mm</t>
  </si>
  <si>
    <t>um</t>
  </si>
  <si>
    <t>02.05.002</t>
  </si>
  <si>
    <t xml:space="preserve">Entrada provisoria de energia eletrica aerea trifasica 4 0a em poste madeira	</t>
  </si>
  <si>
    <t>02.05.003</t>
  </si>
  <si>
    <t>1711 / ORSE</t>
  </si>
  <si>
    <t>Fossa séptica pré-moldada, tipo oms, capacidade 30 pessoas (v=2710 litros)</t>
  </si>
  <si>
    <t>02.05.004</t>
  </si>
  <si>
    <t>1747 / ORSE</t>
  </si>
  <si>
    <t>Sumidouro paredes com blocos cerâmicos 6 furos e dimensões internas de 3,00 x 1,50 x 1,50 m</t>
  </si>
  <si>
    <t>02.05.005</t>
  </si>
  <si>
    <t>10390 / ORSE</t>
  </si>
  <si>
    <t>Aluguel de banheiro químico, com limpezas diárias</t>
  </si>
  <si>
    <t>mês</t>
  </si>
  <si>
    <t>02.06</t>
  </si>
  <si>
    <t>ÁREA PARA PRÉ-MOLDADOS</t>
  </si>
  <si>
    <t>02.06.001</t>
  </si>
  <si>
    <t>3642 / ORSE</t>
  </si>
  <si>
    <t>Lona plástica preta</t>
  </si>
  <si>
    <t>02.06.002</t>
  </si>
  <si>
    <t>11807 / ORSE</t>
  </si>
  <si>
    <t>Piso em concreto simples desempolado, fck = 21 MPa, e = 10 cm, com forma em quadros 2,0x2,0m, para juntas de comcretagem - tres usos - Rev 01</t>
  </si>
  <si>
    <t>03</t>
  </si>
  <si>
    <t>TERRAPLENAGEM</t>
  </si>
  <si>
    <t>03.01</t>
  </si>
  <si>
    <t>03.01.001</t>
  </si>
  <si>
    <t>PISTA</t>
  </si>
  <si>
    <t>03.01.001.001</t>
  </si>
  <si>
    <t>Escavação, carga e transporte em material de 1ª categoria - DMT de 50 m (SICRO 5501710 JULHO/2021)</t>
  </si>
  <si>
    <t>03.01.001.002</t>
  </si>
  <si>
    <t>Escavação, carga e transporte de material de 1ª categoria - DMT de 50 a 200 m - caminho de serviço em leito natural - com carregadeira e caminhão basculante de 14 m³ (SICRO 5501875 JULHO/2021)</t>
  </si>
  <si>
    <t>DA E 289 A E325</t>
  </si>
  <si>
    <t>CONFORME MAPA DE CUBAÇÃO, MATERIAL DESTINADO AO BOTA FORA</t>
  </si>
  <si>
    <t>03.01.001.003</t>
  </si>
  <si>
    <t>Escavação, carga e transporte de material de 1ª categoria - DMT de 200 a 400 m - caminho de serviço em leito natural - com carregadeira e caminhão basculante de 14 m³ (5501876)</t>
  </si>
  <si>
    <t>03.01.001.004</t>
  </si>
  <si>
    <t>Escavação, carga e transporte de material de 1ª categoria - DMT de 600 a 800 m - caminho de serviço em leito natural - com carregadeira e caminhão basculante de 14 m³ (SICRO 5501878 JULHO/2021)</t>
  </si>
  <si>
    <t>03.01.001.005</t>
  </si>
  <si>
    <t>Escavação, carga e transporte de material de 1ª categoria - DMT de 1.000 a 1.200 m - caminho de serviço em leito natural - com carregadeira e caminhão basculante de 14 m3</t>
  </si>
  <si>
    <t>03.01.001.006</t>
  </si>
  <si>
    <t>Escavação, carga e transporte de material de 1ª categoria - DMT de 1.200 a 1.400 m - caminho de serviço em leito natural - com carregadeira e caminhão basculante de 14 m³ (SICRO 5501881 JULHO/2021)</t>
  </si>
  <si>
    <t>DA E 270 A E289</t>
  </si>
  <si>
    <t>03.01.001.007</t>
  </si>
  <si>
    <t>Escavação, carga e transporte de material de 1ª categoria - DMT de 2.000 a 2.500 m - caminho de serviço em leito natural - com carregadeira e caminhão basculante de 14 m³ (SICRO 5501885 JULHO/2021)</t>
  </si>
  <si>
    <t>DA E 244 A E270</t>
  </si>
  <si>
    <t>03.01.001.008</t>
  </si>
  <si>
    <t>Transporte de material de 1ª cat (DMT &gt; 3km), c/ caminhão basculante - revestimento primário (SICRO 5915320 JULH
O/2021)</t>
  </si>
  <si>
    <t>03.01.001.009</t>
  </si>
  <si>
    <t>Compactação de aterros a 100% do Proctor normal (SICRO 5 502978 JULHO/2021)</t>
  </si>
  <si>
    <t>DA E 244 A E325</t>
  </si>
  <si>
    <t>04</t>
  </si>
  <si>
    <t>DRENAGEM PLUVIAL</t>
  </si>
  <si>
    <t>04.01</t>
  </si>
  <si>
    <t>04.01.001</t>
  </si>
  <si>
    <t>MOVIMENTO DE TERRA NA DRENAGEM</t>
  </si>
  <si>
    <t>04.01.001.001</t>
  </si>
  <si>
    <t>7133 / ORSE</t>
  </si>
  <si>
    <t>Escoramento metálico p/ valas, h&lt;=2.50 m, com pranchas m etálicas de 4,7 mm x 30 cm e longarinas em peças de made ira de 3"x6",  reaproveitamento : 60 vezes</t>
  </si>
  <si>
    <t>04.01.001.002</t>
  </si>
  <si>
    <t>7081 / ORSE</t>
  </si>
  <si>
    <t>Bombeamento direto p/ esgotamento de valas com Gerador</t>
  </si>
  <si>
    <t>H</t>
  </si>
  <si>
    <t>04.01.001.003</t>
  </si>
  <si>
    <t>2503 / ORSE</t>
  </si>
  <si>
    <t>Escavação com retro-escavadeira de pneus, de valas, em m aterial de 1ª categoria até 1,50m de profundidade</t>
  </si>
  <si>
    <t>04.01.001.004</t>
  </si>
  <si>
    <t>2504 / ORSE</t>
  </si>
  <si>
    <t>Escavação com retro-escavadeira de pneus, de valas, em m aterial de 1ª categoria entre 1,50 e 3,00m de profundida de</t>
  </si>
  <si>
    <t>04.01.001.005</t>
  </si>
  <si>
    <t>2497 / ORSE</t>
  </si>
  <si>
    <t>Escavação manual de vala ou cava em material de 1ª categ oria, profundidade até 1,50m</t>
  </si>
  <si>
    <t>04.01.001.006</t>
  </si>
  <si>
    <t>2519 / ORSE</t>
  </si>
  <si>
    <t>Reaterro manual de valas ou áreas, com espalhamento e co mpactação, utilizando compactador à percussão/sapinho, s em controle do grau de compactação</t>
  </si>
  <si>
    <t>04.01.001.007</t>
  </si>
  <si>
    <t>4986 / ORSE</t>
  </si>
  <si>
    <t>Carga mecânica de material de 1ª categoria</t>
  </si>
  <si>
    <t>04.01.001.008</t>
  </si>
  <si>
    <t>Transporte com caminhão basculante de 10 m³ - rodovia em leito natural (SICRO 5914359 JULHO/2022) (DMT=0,5km)</t>
  </si>
  <si>
    <t>04.01.002</t>
  </si>
  <si>
    <t>DISPOSITIVOS DE DRENAGEM PLUVIAL</t>
  </si>
  <si>
    <t>04.01.002.001</t>
  </si>
  <si>
    <t>Sarjeta triangular de concreto - STC 01 - areia e brita comerciais (SICRO 2003319 JULHO/2022)</t>
  </si>
  <si>
    <t>04.01.002.002</t>
  </si>
  <si>
    <t>Sarjeta triangular de concreto - STC 03 - areia e brita comerciais (SICRO 2003323 JULHO/2022)</t>
  </si>
  <si>
    <t>04.01.002.003</t>
  </si>
  <si>
    <t>Sarjeta trapezoidal de concreto - SZC 01 - areia e brita comerciais (SICRO 2003343 JULHO/2022)</t>
  </si>
  <si>
    <t>04.01.002.004</t>
  </si>
  <si>
    <t>Sarjeta de canteiro central de concreto - SCC 03 - areia e brita comerciais (SICRO 2003353 JULHO/2022)</t>
  </si>
  <si>
    <t>04.01.002.005</t>
  </si>
  <si>
    <t>Sarjeta de canteiro central de concreto - SCC 04 - areia e brita comerciais (SICRO 2003355 JULHO/2022)</t>
  </si>
  <si>
    <t>04.01.002.006</t>
  </si>
  <si>
    <t>Valeta de proteção de cortes com revestimento de concret o - VPC 03 - areia e brita comerciais (SICRO 2003307 JUL HO/2022)</t>
  </si>
  <si>
    <t>04.01.002.007</t>
  </si>
  <si>
    <t>Meio-fio de concreto - MFC 03 - areia e brita comerciais
- fôrma de madeira (SICRO 2003373 JULHO/2022)</t>
  </si>
  <si>
    <t>04.01.002.008</t>
  </si>
  <si>
    <t>Meio-fio de concreto - MFC 05 - areia e brita comerciais
- fôrma de madeira (SICRO 2003377 JULHO/2022)</t>
  </si>
  <si>
    <t>04.01.002.009</t>
  </si>
  <si>
    <t>Entrada para descida d’água - EDA 01 - areia e brita com erciais (SICRO 2003385 JULHO/2022)</t>
  </si>
  <si>
    <t>ud</t>
  </si>
  <si>
    <t>04.01.002.010</t>
  </si>
  <si>
    <t>Entrada para descida d’água - EDA 02 - areia e brita com erciais (SICRO 2003387 JULHO/2022)</t>
  </si>
  <si>
    <t>04.01.002.011</t>
  </si>
  <si>
    <t>Transposição de segmentos de sarjeta - TSS 03 - areia e brita comerciais (SICRO 2003361 JULHO/2022)</t>
  </si>
  <si>
    <t>04.01.002.012</t>
  </si>
  <si>
    <t>Descida d’água de aterros em degraus - DAD 02 - areia e brita comerciais (SICRO 2003407 JULHO/2022)</t>
  </si>
  <si>
    <t>04.01.002.013</t>
  </si>
  <si>
    <t>Descida d’água de aterros tipo rápido - DAR 03 - areia e
brita comerciais (SICRO 2003393 JULHO/2022)</t>
  </si>
  <si>
    <t xml:space="preserve">04.01.002.014               </t>
  </si>
  <si>
    <t>Dissipador de energia - DEB 01 - areia, brita e pedra de
mão comerciais (SICRO 2003449 JULHO/2022)</t>
  </si>
  <si>
    <t xml:space="preserve">04.01.002.015               </t>
  </si>
  <si>
    <t>Dissipador de energia - DEB 02 - areia, brita e pedra de
mão comerciais (SICRO 2003451 JULHO/2022)</t>
  </si>
  <si>
    <t xml:space="preserve">04.01.002.016 </t>
  </si>
  <si>
    <t>Dissipador de energia - DEB 03 - areia, brita e pedra de
mão comerciais (SICRO 2003453 JULHO/2022)</t>
  </si>
  <si>
    <t xml:space="preserve">04.01.002.017 </t>
  </si>
  <si>
    <t>Dissipador de energia - DEB 04 - areia, brita e pedra de
mão comerciais (SICRO 2003455 JULHO/2022)</t>
  </si>
  <si>
    <t xml:space="preserve">04.01.002.018               </t>
  </si>
  <si>
    <t>Dissipador de energia - DEB 06 - areia, brita e pedra de
mão comerciais (SICRO 2003459 JULHO/2022)</t>
  </si>
  <si>
    <t>04.01.002.019</t>
  </si>
  <si>
    <t>Dissipador de energia - DEB 09 - areia, brita e pedra de
mão comerciais (SICRO 2003465 JULHO/2022)</t>
  </si>
  <si>
    <t>04.01.002.020</t>
  </si>
  <si>
    <t>Dissipador de energia - DES 03 - areia e pedra de mão co
merciais (SICRO 2003445 JULHO/2022)</t>
  </si>
  <si>
    <t xml:space="preserve">04.01.002.021               </t>
  </si>
  <si>
    <t>Dissipador de energia - DES 02 - areia e pedra de mão co
merciais (SICRO 2003443 JULHO/2022)</t>
  </si>
  <si>
    <t xml:space="preserve">04.01.002.022 </t>
  </si>
  <si>
    <t>Caixa coletora de talvegue - CCT 02 - areia e brita come
rciais (SICRO 2003730 JULHO/2022)</t>
  </si>
  <si>
    <t xml:space="preserve">04.01.002.023              </t>
  </si>
  <si>
    <t>Caixa coletora de talvegue - CCT 04 - areia e brita come
rciais (SICRO 2003734 JULHO/2022</t>
  </si>
  <si>
    <t xml:space="preserve">04.01.002.024         </t>
  </si>
  <si>
    <t>Caixa coletora de talvegue - CCT 06 - areia e brita come
rciais (SICRO 2003738 JULHO/2022)</t>
  </si>
  <si>
    <t xml:space="preserve">04.01.002.025   </t>
  </si>
  <si>
    <t>Caixa coletora de talvegue - CCT 10 - areia e brita come
rciais (SICRO 2003746 JULHO/2022)</t>
  </si>
  <si>
    <t xml:space="preserve">04.01.002.026       </t>
  </si>
  <si>
    <t>Boca de BSTC D = 0,60 m - esconsidade 0° - areia e brita
comerciais - alas retas (SICRO 0804081 JULHO/2022)</t>
  </si>
  <si>
    <t xml:space="preserve">04.01.002.027   </t>
  </si>
  <si>
    <t>Boca de BSTC D = 0,80 m - esconsidade 0° - areia e brita
comerciais - alas retas (SICRO 0804101 JULHO/2022)</t>
  </si>
  <si>
    <t xml:space="preserve">04.01.002.028 </t>
  </si>
  <si>
    <t>Boca de BSTC D = 1,20 m - esconsidade 0° - areia e brita  comerciais - alas retas (SICRO 0804141 JULHO/2022)</t>
  </si>
  <si>
    <t>04.01.002.029</t>
  </si>
  <si>
    <t>Boca de BDTC D = 1,20 m - esconsidade 0° - areia e brita comerciais - alas retas (SICRO 0804253 JULHO/2022)</t>
  </si>
  <si>
    <t>04.01.002.030</t>
  </si>
  <si>
    <t>Boca de BDCC 3,00 x 3,00 m - esconsidade 0° - areia e br ita comerciais (SICRO 0705338 JULHO/2022)</t>
  </si>
  <si>
    <t>04.01.002.031</t>
  </si>
  <si>
    <t>Corpo de BDCC 3,00 x 3,00 m - moldado no local - altura do aterro 2,50 a 5,00 m - areia e brita comerciais (SICR O 0705303 JULHO/2022)</t>
  </si>
  <si>
    <t>04.01.002.032</t>
  </si>
  <si>
    <t>6320 / ORSE</t>
  </si>
  <si>
    <t>Lastro de concreto, fck=15 mpa, lançado e adensado</t>
  </si>
  <si>
    <t>04.01.002.033</t>
  </si>
  <si>
    <t>Corpo de BSTC D = 0,40 m PA2 - areia, brita e pedra de m ão comerciais (SICRO 0804015 JULHO/2022)</t>
  </si>
  <si>
    <t>INTERSEÇÃO : PV 4 A CGG = 17 M ; PV 03 A CGG = 14 M</t>
  </si>
  <si>
    <t>04.01.002.034</t>
  </si>
  <si>
    <t>Corpo de BSTC D = 0,60 m PA2 - areia, brita e pedra de m ão comerciais (SICRO 0804023 JULHO/2022)</t>
  </si>
  <si>
    <t>INTERSEÇÃO : PV 01 A PV 02 = 20 M ; PV 02 A PV 03 = 20 M; PV 03 A PV 04 = 23 M; PV 06 A DEB 03 = 24 M</t>
  </si>
  <si>
    <t>04.01.002.035</t>
  </si>
  <si>
    <t>Corpo de BSTC D = 0,80 m PA2 - areia, brita e pedra de m ão comerciais (SICRO 0804031 JULHO/2022)</t>
  </si>
  <si>
    <t>E 18 = 15 M ; E 27 +10 = 15 M</t>
  </si>
  <si>
    <t>04.01.002.036</t>
  </si>
  <si>
    <t>Corpo de BSTC D = 1,20 m PA2 - areia, brita e pedra de m ão comerciais (SICRO 0804047 JULHO/2022)</t>
  </si>
  <si>
    <t>04.01.002.037</t>
  </si>
  <si>
    <t>Corpo de BDTC D = 1,20 m PA2 - areia, brita e pedra de m
ão comerciais (SICRO 0804199 JULHO/2022)</t>
  </si>
  <si>
    <t>E 130 = 22 M</t>
  </si>
  <si>
    <t>04.01.002.038</t>
  </si>
  <si>
    <t>1108 / CTENG</t>
  </si>
  <si>
    <r>
      <rPr>
        <sz val="10"/>
        <rFont val="Arial"/>
        <family val="2"/>
      </rPr>
      <t>Poço de visita em alvenaria tij. maciços esp.=0,20m, dim
. int.= 1,20x1,20x1,60m</t>
    </r>
  </si>
  <si>
    <t>04.01.002.039</t>
  </si>
  <si>
    <t>1359 / CTENG</t>
  </si>
  <si>
    <r>
      <rPr>
        <sz val="10"/>
        <rFont val="Arial"/>
        <family val="2"/>
      </rPr>
      <t>Boca de lobo simples em alvenaria de tij. maçicos esp.=0
,20m, combinada (grelha e gaveta) h= 1,50m</t>
    </r>
  </si>
  <si>
    <t>04.01.002.040</t>
  </si>
  <si>
    <t>2725 / ORSE</t>
  </si>
  <si>
    <t>Complemento de altura para poço de visita em alvenaria c om tijolos maciços esp. = 0,20m.</t>
  </si>
  <si>
    <t>04.01.003</t>
  </si>
  <si>
    <t>CANAL DE CONCRETO ARMADO (S: 1,2x0,85m) L=79,50m</t>
  </si>
  <si>
    <t>04.01.003.001</t>
  </si>
  <si>
    <t>0122 / ORSE</t>
  </si>
  <si>
    <t>Forma plana para estruturas, em compensado plastificado de 14mm, 05 usos, inclusive escoramento - Revisada 07.20 15</t>
  </si>
  <si>
    <t>04.01.003.002</t>
  </si>
  <si>
    <t>0140 / ORSE</t>
  </si>
  <si>
    <t>Aço CA - 50 Ø 6,3 a 12,5mm, inclusive corte, dobragem, m ontagem e colocacao de ferragens nas formas, para supere struturas e fundações - R1</t>
  </si>
  <si>
    <t>kg</t>
  </si>
  <si>
    <t>04.01.003.003</t>
  </si>
  <si>
    <t>0141 / ORSE</t>
  </si>
  <si>
    <t>Aço CA - 60 Ø 4,2 a 9,5mm, inclusive corte, dobragem, mo ntagem e colocacao de ferragens nas formas, para superes truturas e fundações - R1</t>
  </si>
  <si>
    <t>04.01.003.004</t>
  </si>
  <si>
    <t>11485 / ORSE</t>
  </si>
  <si>
    <t>Concreto simples usinado fck=40mpa, bombeado, lançado e adensado na infraestrutura</t>
  </si>
  <si>
    <t>04.01.003.005</t>
  </si>
  <si>
    <t>9154 / ORSE</t>
  </si>
  <si>
    <t>Impermeabilização - Fornecimento e aplicação de manta ge otéxtil RT-21, resistencia a tração=21 kN/m (antigo Bidi m OP-40 ou similar) em colchões drenantes</t>
  </si>
  <si>
    <t>04.01.003.006</t>
  </si>
  <si>
    <t>94962 / SINAPI</t>
  </si>
  <si>
    <t>Concreto magro para lastro, traço 1:4,5:4,5 (em massa se ca de cimento/ areia média/ brita 1) - preparo mecânico com betoneira 400 l. af_05/2021</t>
  </si>
  <si>
    <t>04.01.004</t>
  </si>
  <si>
    <t>CAIXAS COLETORAS DE TALVEGUE (alturas menores que as do projeto tipico)</t>
  </si>
  <si>
    <t>04.01.004.001</t>
  </si>
  <si>
    <t>04.01.004.002</t>
  </si>
  <si>
    <t>04.01.004.003</t>
  </si>
  <si>
    <t>12651 / ORSE</t>
  </si>
  <si>
    <t>Apiloamento manual</t>
  </si>
  <si>
    <t>04.01.005</t>
  </si>
  <si>
    <t>TAMPONAMENTO DE CAIXAS COLETORAS DE TALVEGUE</t>
  </si>
  <si>
    <t>04.01.005.001</t>
  </si>
  <si>
    <t>6457 / ORSE</t>
  </si>
  <si>
    <t>Concreto armado fck=15MPa fabricado na obra, adensado e lançado, para Uso Geral, com formas planas em compensado resinado 12mm (05 usos)</t>
  </si>
  <si>
    <t>05</t>
  </si>
  <si>
    <t>PAVIMENTAÇÃO</t>
  </si>
  <si>
    <t>05.01</t>
  </si>
  <si>
    <t>REGULARIZACAO</t>
  </si>
  <si>
    <t>05.01.001</t>
  </si>
  <si>
    <t>Regularização do subleito (SICRO 4011209 JULHO/2022)</t>
  </si>
  <si>
    <t>05.02</t>
  </si>
  <si>
    <t>SUBBASE</t>
  </si>
  <si>
    <t>05.02.001</t>
  </si>
  <si>
    <t>AQUISIÇÃO DO MATERIAL DE SUB-BASE DA JAZIDA JABOTIANA</t>
  </si>
  <si>
    <t>05.02.001.001</t>
  </si>
  <si>
    <t>=5111,49</t>
  </si>
  <si>
    <t>CONFORME ROMANEIOS</t>
  </si>
  <si>
    <t>05.02.001.002</t>
  </si>
  <si>
    <t>Transporte com caminhão basculante de 10 m³ - rodovia pa vimentada (SICRO 5914389 JULHO/2022)</t>
  </si>
  <si>
    <t>= 5.111,49 X 1,50 X 3,00</t>
  </si>
  <si>
    <t>dmt = 3,0 KM</t>
  </si>
  <si>
    <t>05.02.001.003</t>
  </si>
  <si>
    <t>= 5.111,49 X 1,50 X 7,20</t>
  </si>
  <si>
    <t>dmT = 7,2 KM</t>
  </si>
  <si>
    <t>05.02.002</t>
  </si>
  <si>
    <t>EXECUÇÃO DE SUB-BASE</t>
  </si>
  <si>
    <t>05.02.002.001</t>
  </si>
  <si>
    <t>2563 / ORSE</t>
  </si>
  <si>
    <t>Sub-base estabilizada granulometricamente sem mistura (e xclusive material de sub-base)</t>
  </si>
  <si>
    <t>05.03</t>
  </si>
  <si>
    <t>BASE</t>
  </si>
  <si>
    <t>05.03.001</t>
  </si>
  <si>
    <t>AQUISIÇÃO DE SOLO DE SUB-BASE DA JAZIDA JABOTIANA</t>
  </si>
  <si>
    <t>05.03.001.001</t>
  </si>
  <si>
    <t>11710 / ORSE</t>
  </si>
  <si>
    <t>Material para sub-base com cbr&gt;20, inclusive aquisição, escavação e carga na jazida (medido pelo corte), exclusi ve limpeza da área e transporte</t>
  </si>
  <si>
    <t>05.03.001.002</t>
  </si>
  <si>
    <t>05.03.001.003</t>
  </si>
  <si>
    <t>05.03.002</t>
  </si>
  <si>
    <t>AQUISIÇÃO DE PEDRA DA PEDREIRA MM</t>
  </si>
  <si>
    <t>05.03.002.001</t>
  </si>
  <si>
    <t>4748 / SINAPI</t>
  </si>
  <si>
    <t>Pedra britada ou bica corrida, nao classificada (posto p edreira/fornecedor, sem frete)</t>
  </si>
  <si>
    <t>05.03.002.002</t>
  </si>
  <si>
    <t>05.03.003</t>
  </si>
  <si>
    <t>EXECUÇÃO DE BASE</t>
  </si>
  <si>
    <t>05.03.003.001</t>
  </si>
  <si>
    <t>1519 / CTENG</t>
  </si>
  <si>
    <t>Base com solo-brita, misturado na pista (exclusive mater ial de base e brita)</t>
  </si>
  <si>
    <t>05.04</t>
  </si>
  <si>
    <t>CAPA ASFÁLTICA</t>
  </si>
  <si>
    <t>05.04.001</t>
  </si>
  <si>
    <t>IMPRIMAÇÃO</t>
  </si>
  <si>
    <t>05.04.001.001</t>
  </si>
  <si>
    <t>3428 / ORSE</t>
  </si>
  <si>
    <r>
      <rPr>
        <sz val="10"/>
        <rFont val="Arial"/>
        <family val="2"/>
      </rPr>
      <t>Imprimação aplicada em execução de rodovias (prod. = 1.2
50 m2/h), sem fornecimento de material e sem transporte</t>
    </r>
  </si>
  <si>
    <t>05.04.002</t>
  </si>
  <si>
    <t>PINTURA DE LIGAÇÃO</t>
  </si>
  <si>
    <t>05.04.002.001</t>
  </si>
  <si>
    <t>7176 / ORSE</t>
  </si>
  <si>
    <t>Execução de pintura asfáltica de ligação, exclusive forn ecimento de ligante</t>
  </si>
  <si>
    <t>05.04.003</t>
  </si>
  <si>
    <t>C.A.U.Q</t>
  </si>
  <si>
    <t>05.04.003.001</t>
  </si>
  <si>
    <t>1353 / CTENG</t>
  </si>
  <si>
    <t>Execução de pavimento com aplicação de concreto asfáltic o, sem cap, camada de rolamento - exclusive carga e tran sporte</t>
  </si>
  <si>
    <t>05.04.004</t>
  </si>
  <si>
    <t>TRANSPORTE de C.A.U.Q</t>
  </si>
  <si>
    <t>05.04.004.001</t>
  </si>
  <si>
    <t>00985 / SINAPI</t>
  </si>
  <si>
    <t>Carga de mistura asfáltica em caminhão basculante 6 m³ ( unidade: m3). af_07/2020</t>
  </si>
  <si>
    <t>05.04.004.002</t>
  </si>
  <si>
    <t>Transporte de mistura betuminosa a quente com caminhão c om caçamba térmica de 6m³ - rodovia pavimentada (SICRO 5 914612 JULHO/2022)</t>
  </si>
  <si>
    <t>05.05</t>
  </si>
  <si>
    <t>05.05.001</t>
  </si>
  <si>
    <t>CTENG 1389</t>
  </si>
  <si>
    <t>Execução de pavimento em paralelepípedos, rejuntamento com argamassa traço 1:3 (cimento e areia). af_05/2020 (CTENG 1389)</t>
  </si>
  <si>
    <t>05.05.002</t>
  </si>
  <si>
    <t>4960 / ORSE</t>
  </si>
  <si>
    <t>Meio-fio granítico, rejuntado com argamassa de cimento e areia no traço 1:3</t>
  </si>
  <si>
    <t>06</t>
  </si>
  <si>
    <t>SINALIZAÇÃO VIARIA</t>
  </si>
  <si>
    <t>06.01</t>
  </si>
  <si>
    <t>SINALIZAÇÃO VERTICAL</t>
  </si>
  <si>
    <t>06.01.001</t>
  </si>
  <si>
    <t>Placa de regulamentação em aço, R1 lado 0,414 m - película retrorrefletiva tipo I + SI - fornecimento e implantação (SICRO 5213446 JULHO2022)</t>
  </si>
  <si>
    <t>06.01.002</t>
  </si>
  <si>
    <t>Placa de regulamentação em aço, R2 lado 1,00 m - película retrorrefletiva tipo I + SI - fornecimento e implantação (SICRO 5213450 JULHO/2022)</t>
  </si>
  <si>
    <t>06.01.003</t>
  </si>
  <si>
    <t>Placa de regulamentação em aço D = 1,00 m - película retrorrefletiva tipo I + SI - fornecimento e implantação (SICRO 5213442 JULHO/2022)</t>
  </si>
  <si>
    <t>06.01.004</t>
  </si>
  <si>
    <t>Placa de advertência em aço, lado de 1,00 m - película retrorrefletiva tipo I + SI - fornecimento e implantação(SICRO 5213466 JULHO/2022)</t>
  </si>
  <si>
    <t>06.01.005</t>
  </si>
  <si>
    <t>Placa em aço - 2,00 x 1,00 m - película retrorrefletiva tipo I + III - fornecimento e implantação (SICRO 5213498JULHO/2022)</t>
  </si>
  <si>
    <t>06.01.006</t>
  </si>
  <si>
    <t>Placa em aço - película I + III - fornecimento e implantação (SICRO 5213571 JULHO/2022)</t>
  </si>
  <si>
    <t>06.01.007</t>
  </si>
  <si>
    <t>Suporte para placa de sinalização em madeira de lei tratada 8 x 8 cm - fornecimento e implantação (SICRO 5216111 JULHO/2022)</t>
  </si>
  <si>
    <t>06.02</t>
  </si>
  <si>
    <t>SINALIZAÇÃO HORIZONTAL</t>
  </si>
  <si>
    <t>06.02.001</t>
  </si>
  <si>
    <t>Pintura de faixa com plástico a frio tricomponente à base de resinas metacrílicas por aspersão - espessura de 0,6 mm (SICRO 5213413 JULHO/2022)</t>
  </si>
  <si>
    <t>06.02.002</t>
  </si>
  <si>
    <t>Pintura de setas e zebrados com tinta acrílica - espessura de 0,6 mm (SICRO 5213405 JULHO/2022)</t>
  </si>
  <si>
    <t>06.02.003</t>
  </si>
  <si>
    <t>02509 / SINAPI</t>
  </si>
  <si>
    <t>Pintura de faixa de pedestre ou zebrada tinta retrorrefletiva a base de resina acrílica com microesferas de vidro, e = 30 cm, aplicação manual. af_05/2021</t>
  </si>
  <si>
    <t>06.02.004</t>
  </si>
  <si>
    <t>Tacha refletiva em resina sintética - bidirecional tipo III - com um pino - fornecimento e colocação (SICRO 5219623 JULHO/2022)</t>
  </si>
  <si>
    <t>06.02.005</t>
  </si>
  <si>
    <t>Tacha refletiva em resina sintética - monodirecional tipo III - com um pino - fornecimento e colocação (SICRO 5219631 JULHO/2022)</t>
  </si>
  <si>
    <t>07</t>
  </si>
  <si>
    <t>OBRAS COMPLEMENTARES</t>
  </si>
  <si>
    <t>07.01</t>
  </si>
  <si>
    <t>PROTECAO VEGETAL</t>
  </si>
  <si>
    <t>07.01.001</t>
  </si>
  <si>
    <t>4405 / ORSE</t>
  </si>
  <si>
    <t>Grama nativa capim de burro ou batatais, em placas, fornecimento e plantio</t>
  </si>
  <si>
    <t>07.01.002</t>
  </si>
  <si>
    <t>9251 / ORSE</t>
  </si>
  <si>
    <t>Hidrossemeadura</t>
  </si>
  <si>
    <t>07.02</t>
  </si>
  <si>
    <t>DIVERSOS</t>
  </si>
  <si>
    <t>07.02.001</t>
  </si>
  <si>
    <t>6170 / ORSE</t>
  </si>
  <si>
    <t>Religação de corte no ramal</t>
  </si>
  <si>
    <t>07.02.002</t>
  </si>
  <si>
    <t>02498 / SINAPI</t>
  </si>
  <si>
    <t>Pintura de meio-fio com tinta branca a base de cal (caia ção). af_05/2021</t>
  </si>
  <si>
    <t>07.02.003</t>
  </si>
  <si>
    <t>6191 / ORSE</t>
  </si>
  <si>
    <t>Limpeza de ruas (varrição e remoção de entulhos)</t>
  </si>
  <si>
    <t>m²</t>
  </si>
  <si>
    <t>07.02.004</t>
  </si>
  <si>
    <t>Cerca com 4 fios de arame farpado e mourão de madeira a cada 2,5 m e esticador a cada 50 m (SICRO 3713608 JULHO/ 2021)</t>
  </si>
  <si>
    <t>DA E 2 A E 65 (LADO DIREITO ; DA E 2 A E 54 (LADO ESQUERDO) ; DA E 102 A 118 (LADO ESQUERDO) ; DA E 112 A E 128 (LADO DIREITO)</t>
  </si>
  <si>
    <t>07.03</t>
  </si>
  <si>
    <t>PASSEIOS</t>
  </si>
  <si>
    <t>07.03.001</t>
  </si>
  <si>
    <t>94995 / SINAPI</t>
  </si>
  <si>
    <r>
      <rPr>
        <sz val="10"/>
        <rFont val="Arial"/>
        <family val="2"/>
      </rPr>
      <t>Execução de passeio (calçada) ou piso de concreto com co ncreto moldado in loco, usinado, acabamento convencional
, espessura 8 cm, armado. af_07/2016</t>
    </r>
  </si>
  <si>
    <t>07.03.002</t>
  </si>
  <si>
    <t>1388 / CTENG</t>
  </si>
  <si>
    <t>Pó de pedra com frete</t>
  </si>
  <si>
    <t>07.03.003</t>
  </si>
  <si>
    <t>1379 / CTENG</t>
  </si>
  <si>
    <t>Junta serrada, e=0,5cm, com preenchimento de mastique de poliuretano MBT, Basf ou similar.</t>
  </si>
  <si>
    <t>07.03.004</t>
  </si>
  <si>
    <t>1355 / CTENG</t>
  </si>
  <si>
    <t>Junta de construção, e=1,5cm, com preenchimento de masti que de poliuretano MBT, Basf ou similar, para pavimentos em concreto</t>
  </si>
  <si>
    <t>07.04</t>
  </si>
  <si>
    <t>RAMPAS E TRAVESSIAS</t>
  </si>
  <si>
    <t>07.04.001</t>
  </si>
  <si>
    <t>0105 / ORSE</t>
  </si>
  <si>
    <t>Concreto simples usinado fck=35mpa, bombeado, lançado e adensado em superestrutura</t>
  </si>
  <si>
    <t>07.04.002</t>
  </si>
  <si>
    <t>3638 / ORSE</t>
  </si>
  <si>
    <t>Fornecimento e instalação de tela aço soldada nervurada CA-60, Q-196, malha 10x10cm, ferro 5.0mm (3,11 kg/m2), p ainel 2,45x6,0m, Telcon ou similar</t>
  </si>
  <si>
    <t>08</t>
  </si>
  <si>
    <t>ADMINISTRAÇÃO DO EMPREENDIMENTO</t>
  </si>
  <si>
    <t>08.01</t>
  </si>
  <si>
    <t>ADMINISTRAÇÃO LOCAL</t>
  </si>
  <si>
    <t>08.01.001</t>
  </si>
  <si>
    <t>Equipe Dirigente</t>
  </si>
  <si>
    <t>MEDIDO PROPORCIONAL</t>
  </si>
  <si>
    <t>08.01.002</t>
  </si>
  <si>
    <t>Manutenção do Canteiro</t>
  </si>
  <si>
    <t>08.01.003</t>
  </si>
  <si>
    <t>Equipamentos de Apoio à Produção</t>
  </si>
  <si>
    <t>08.02</t>
  </si>
  <si>
    <t>MOBILIZAÇÃO E DESMOBILIZAÇÃO DE EQUIPAMENTOS</t>
  </si>
  <si>
    <t xml:space="preserve">08.02.001 </t>
  </si>
  <si>
    <t xml:space="preserve"> MOBILIZAÇÃO E DESMOBILIZAÇÃO DE EQUIPAMENTOS</t>
  </si>
  <si>
    <t>09</t>
  </si>
  <si>
    <t>AQUISIÇÃO DE MATERIAIS BETUMINOSOS</t>
  </si>
  <si>
    <t>09.01</t>
  </si>
  <si>
    <t>FORNECIMENTO DE MATERIAIS BETUMINOSOS</t>
  </si>
  <si>
    <t>09.01.001</t>
  </si>
  <si>
    <t>Asfalto diluído de petróleo - adp -  cm-30 (densidade = 0,85 Kg/l) (ANP +  IMPOSTOS) (CE OUT/22)</t>
  </si>
  <si>
    <t>t</t>
  </si>
  <si>
    <t>09.01.002</t>
  </si>
  <si>
    <t>Emulsao asfaltica cationica rr-2c para uso em pavimentac ao asfaltica  (ANP +  IMPOSTOS) (MG OUT/22)</t>
  </si>
  <si>
    <t>09.01.003</t>
  </si>
  <si>
    <t>Cimento asfaltico de petroleo a granel (cap) 50/70 (cole tado caixa na anp acrescido de icms)  (ANP +  IMPOSTOS) (BA OUT/22)</t>
  </si>
  <si>
    <t>09.02</t>
  </si>
  <si>
    <t>TRANSPORTE DE MATERIAIS BETUMINOSOS</t>
  </si>
  <si>
    <t xml:space="preserve">09.02.001 </t>
  </si>
  <si>
    <t>Asfalto diluido de petroleo CM-30 (CE OUT/22)</t>
  </si>
  <si>
    <t>09.02.002</t>
  </si>
  <si>
    <t>Emulsão asfaltica cationica RR-2C (MG OUT/22)</t>
  </si>
  <si>
    <t>09.02.003</t>
  </si>
  <si>
    <t>Cimento asfaltico de petroleo CAP 50/70 (BA OUT/22)</t>
  </si>
  <si>
    <t xml:space="preserve">MEMÓRIA DE CÁLCULO  </t>
  </si>
  <si>
    <t>BM Nº: 9</t>
  </si>
  <si>
    <t xml:space="preserve">Memória de cálculo - Medição 09 </t>
  </si>
  <si>
    <t>Base em brita corrida</t>
  </si>
  <si>
    <t>Brita corrida - Base total:</t>
  </si>
  <si>
    <t>18 cm</t>
  </si>
  <si>
    <t>Estaca 108 a Estaca 210</t>
  </si>
  <si>
    <t>2.040,00 x 9 x 0,18</t>
  </si>
  <si>
    <t>Em "Caixão"</t>
  </si>
  <si>
    <t>2.040,00 x 9 x 0,11</t>
  </si>
  <si>
    <t>solo da mistura da Base</t>
  </si>
  <si>
    <t>Volume Compactado:</t>
  </si>
  <si>
    <t>Vide planilha anexa</t>
  </si>
  <si>
    <t>Volume Solto:</t>
  </si>
  <si>
    <t>Itens:</t>
  </si>
  <si>
    <t>Transporte material :</t>
  </si>
  <si>
    <t>Rod. Pav.:</t>
  </si>
  <si>
    <t>2625,48*1,5*5,55 =</t>
  </si>
  <si>
    <t>T*Km</t>
  </si>
  <si>
    <t>Leito Natural:</t>
  </si>
  <si>
    <t>2625,48*1,5*(3,15) =</t>
  </si>
  <si>
    <t>RESUMO BASE EM BRITA CORRIDA</t>
  </si>
  <si>
    <t>Aquisição</t>
  </si>
  <si>
    <t>Transporte</t>
  </si>
  <si>
    <t>Execução</t>
  </si>
  <si>
    <t>IMPRIMAÇÃO E REVESTIMENTO ASFALTICO</t>
  </si>
  <si>
    <t>Imprimação: sem ligante e sem transporte: 8,60 * 2040 = 17.544,00  m2</t>
  </si>
  <si>
    <t>CAUQ: Sem CAP. e sem Carga e transporte: 2040*8,00*0,025 = 408,0 m³</t>
  </si>
  <si>
    <t>Carga de CAUQ: 408*1,25 = 510 m3</t>
  </si>
  <si>
    <t>Transporte de CAUQ: 510*2,4*17,21 = 21.065,04T*Km</t>
  </si>
  <si>
    <t>Aquisição de asfalto diluidido CM-30:  17544*(1,2/1000) = 21,05 Ton.</t>
  </si>
  <si>
    <t>Aquisição de CAP. (5,3%) 408,00 m3 * 2,4 * 0,053 =  51,89 t</t>
  </si>
  <si>
    <t>Tranporte CM-30: 21,98 Ton. = 21,05Ton.</t>
  </si>
  <si>
    <t>Transporte CAP 51,89 Ton.</t>
  </si>
  <si>
    <t>PREÇO UNITÁRIO</t>
  </si>
  <si>
    <t>PERCENTUAL</t>
  </si>
  <si>
    <t>ACUMULADO ANTERIOR</t>
  </si>
  <si>
    <t>DO PERÍODO</t>
  </si>
  <si>
    <t>ACUMULADO ATÉ PERÍODO</t>
  </si>
  <si>
    <t>SALDO À MEDIR</t>
  </si>
  <si>
    <t>P UNIT S/ BDI</t>
  </si>
  <si>
    <t>Imprimação aplicada em execução de rodovias (prod. = 1.2
50 m2/h), sem fornecimento de material e sem transporte</t>
  </si>
  <si>
    <r>
      <rPr>
        <b/>
        <sz val="8.5"/>
        <rFont val="Arial"/>
        <family val="2"/>
      </rPr>
      <t>DEMONSTRATIVO DE QUANTIDADES DE SERVIÇOS DE PAVIMENTAÇÃO</t>
    </r>
  </si>
  <si>
    <r>
      <rPr>
        <b/>
        <sz val="7"/>
        <rFont val="Arial"/>
        <family val="2"/>
      </rPr>
      <t>DISCRIMINAÇÃO</t>
    </r>
  </si>
  <si>
    <r>
      <rPr>
        <b/>
        <sz val="7"/>
        <rFont val="Arial"/>
        <family val="2"/>
      </rPr>
      <t>LOCALIZAÇÃO</t>
    </r>
  </si>
  <si>
    <r>
      <rPr>
        <b/>
        <sz val="7"/>
        <rFont val="Arial"/>
        <family val="2"/>
      </rPr>
      <t xml:space="preserve">EXTENSÃO
</t>
    </r>
    <r>
      <rPr>
        <b/>
        <sz val="7"/>
        <rFont val="Arial"/>
        <family val="2"/>
      </rPr>
      <t>(m)</t>
    </r>
  </si>
  <si>
    <r>
      <rPr>
        <b/>
        <sz val="7"/>
        <rFont val="Arial"/>
        <family val="2"/>
      </rPr>
      <t xml:space="preserve">LARGURA
</t>
    </r>
    <r>
      <rPr>
        <b/>
        <sz val="7"/>
        <rFont val="Arial"/>
        <family val="2"/>
      </rPr>
      <t>(m)</t>
    </r>
  </si>
  <si>
    <r>
      <rPr>
        <b/>
        <sz val="7"/>
        <rFont val="Arial"/>
        <family val="2"/>
      </rPr>
      <t xml:space="preserve">ESPESSURA
</t>
    </r>
    <r>
      <rPr>
        <b/>
        <sz val="7"/>
        <rFont val="Arial"/>
        <family val="2"/>
      </rPr>
      <t>(m)</t>
    </r>
  </si>
  <si>
    <r>
      <rPr>
        <b/>
        <sz val="7"/>
        <rFont val="Arial"/>
        <family val="2"/>
      </rPr>
      <t>ÁREA (m</t>
    </r>
    <r>
      <rPr>
        <b/>
        <vertAlign val="superscript"/>
        <sz val="7"/>
        <rFont val="Arial"/>
        <family val="2"/>
      </rPr>
      <t>2</t>
    </r>
    <r>
      <rPr>
        <b/>
        <sz val="7"/>
        <rFont val="Arial"/>
        <family val="2"/>
      </rPr>
      <t>)</t>
    </r>
  </si>
  <si>
    <r>
      <rPr>
        <b/>
        <sz val="7"/>
        <rFont val="Arial"/>
        <family val="2"/>
      </rPr>
      <t>VOLUME (m</t>
    </r>
    <r>
      <rPr>
        <b/>
        <vertAlign val="superscript"/>
        <sz val="7"/>
        <rFont val="Arial"/>
        <family val="2"/>
      </rPr>
      <t>3</t>
    </r>
    <r>
      <rPr>
        <b/>
        <sz val="7"/>
        <rFont val="Arial"/>
        <family val="2"/>
      </rPr>
      <t>)</t>
    </r>
  </si>
  <si>
    <r>
      <rPr>
        <b/>
        <sz val="7"/>
        <rFont val="Arial"/>
        <family val="2"/>
      </rPr>
      <t>DMT (Km)</t>
    </r>
  </si>
  <si>
    <t xml:space="preserve">TKM </t>
  </si>
  <si>
    <r>
      <rPr>
        <b/>
        <sz val="6"/>
        <rFont val="Arial"/>
        <family val="2"/>
      </rPr>
      <t>DENSIDADE / TAXA DE APLICAÇÃO</t>
    </r>
  </si>
  <si>
    <r>
      <rPr>
        <b/>
        <sz val="7"/>
        <rFont val="Arial"/>
        <family val="2"/>
      </rPr>
      <t>UNIDADE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</si>
  <si>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</si>
  <si>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ESTACA</t>
    </r>
  </si>
  <si>
    <r>
      <rPr>
        <b/>
        <sz val="7"/>
        <rFont val="Arial"/>
        <family val="2"/>
      </rPr>
      <t xml:space="preserve">LADO
</t>
    </r>
    <r>
      <rPr>
        <b/>
        <sz val="7"/>
        <rFont val="Arial"/>
        <family val="2"/>
      </rPr>
      <t>E/X/D</t>
    </r>
  </si>
  <si>
    <r>
      <rPr>
        <b/>
        <sz val="7"/>
        <rFont val="Arial"/>
        <family val="2"/>
      </rPr>
      <t>INÍCIAL</t>
    </r>
  </si>
  <si>
    <r>
      <rPr>
        <b/>
        <sz val="7"/>
        <rFont val="Arial"/>
        <family val="2"/>
      </rPr>
      <t>FINAL</t>
    </r>
  </si>
  <si>
    <r>
      <rPr>
        <sz val="7"/>
        <rFont val="Arial MT"/>
        <family val="2"/>
      </rPr>
      <t>taxa</t>
    </r>
  </si>
  <si>
    <r>
      <rPr>
        <sz val="7"/>
        <rFont val="Arial MT"/>
        <family val="2"/>
      </rPr>
      <t>unid</t>
    </r>
  </si>
  <si>
    <r>
      <rPr>
        <b/>
        <sz val="7"/>
        <rFont val="Arial"/>
        <family val="2"/>
      </rPr>
      <t>REGULARIZAÇÃO</t>
    </r>
  </si>
  <si>
    <r>
      <rPr>
        <b/>
        <vertAlign val="subscript"/>
        <sz val="7"/>
        <rFont val="Arial"/>
        <family val="2"/>
      </rPr>
      <t>m</t>
    </r>
    <r>
      <rPr>
        <b/>
        <sz val="4.5"/>
        <rFont val="Arial"/>
        <family val="2"/>
      </rPr>
      <t>2</t>
    </r>
  </si>
  <si>
    <t>TRECHO 1</t>
  </si>
  <si>
    <t>TRECHO 2</t>
  </si>
  <si>
    <t xml:space="preserve"> INTERSEÇÃO SE-065</t>
  </si>
  <si>
    <t>ROTULA DISTRITO INDUSTRIAL</t>
  </si>
  <si>
    <r>
      <rPr>
        <b/>
        <sz val="7"/>
        <rFont val="Arial"/>
        <family val="2"/>
      </rPr>
      <t>SUB-BASE</t>
    </r>
  </si>
  <si>
    <r>
      <rPr>
        <b/>
        <vertAlign val="subscript"/>
        <sz val="7"/>
        <rFont val="Arial"/>
        <family val="2"/>
      </rPr>
      <t>m</t>
    </r>
    <r>
      <rPr>
        <b/>
        <sz val="4.5"/>
        <rFont val="Arial"/>
        <family val="2"/>
      </rPr>
      <t>3</t>
    </r>
  </si>
  <si>
    <r>
      <rPr>
        <b/>
        <sz val="7"/>
        <rFont val="Arial"/>
        <family val="2"/>
      </rPr>
      <t>BASE (SOLOxBRITA)</t>
    </r>
  </si>
  <si>
    <t>PAVIMENTADA</t>
  </si>
  <si>
    <t>LEITO NATURAL</t>
  </si>
  <si>
    <t>AQUISIÇÃO DE MATERIAL SOLO X BRITA</t>
  </si>
  <si>
    <t>PEDRA BRITADA</t>
  </si>
  <si>
    <t>SOLO DA MISTURA</t>
  </si>
  <si>
    <r>
      <rPr>
        <b/>
        <sz val="7"/>
        <rFont val="Arial"/>
        <family val="2"/>
      </rPr>
      <t>REVESTIMENTO DE PARALELO TRECHO 2</t>
    </r>
  </si>
  <si>
    <r>
      <rPr>
        <sz val="7"/>
        <rFont val="Arial MT"/>
        <family val="2"/>
      </rPr>
      <t>LADO DIREITO</t>
    </r>
  </si>
  <si>
    <r>
      <rPr>
        <sz val="7"/>
        <rFont val="Arial MT"/>
        <family val="2"/>
      </rPr>
      <t>LADO ESQUERDO</t>
    </r>
  </si>
  <si>
    <r>
      <rPr>
        <b/>
        <sz val="7"/>
        <rFont val="Arial"/>
        <family val="2"/>
      </rPr>
      <t>IMPRIMAÇÃO</t>
    </r>
  </si>
  <si>
    <t>TRECHO 3</t>
  </si>
  <si>
    <r>
      <rPr>
        <b/>
        <sz val="7"/>
        <rFont val="Arial"/>
        <family val="2"/>
      </rPr>
      <t>MATERIAL BETUMINOSO</t>
    </r>
  </si>
  <si>
    <r>
      <rPr>
        <b/>
        <sz val="7"/>
        <rFont val="Arial"/>
        <family val="2"/>
      </rPr>
      <t xml:space="preserve">CM-30 </t>
    </r>
    <r>
      <rPr>
        <sz val="7"/>
        <rFont val="Arial MT"/>
        <family val="2"/>
      </rPr>
      <t>(asfalto diluido de petroleo) - imprimação</t>
    </r>
  </si>
  <si>
    <r>
      <rPr>
        <b/>
        <sz val="7"/>
        <rFont val="Arial"/>
        <family val="2"/>
      </rPr>
      <t>t</t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</si>
  <si>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2</t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</si>
  <si>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</si>
  <si>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</si>
  <si>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 MT"/>
        <family val="2"/>
      </rPr>
      <t>l/m</t>
    </r>
    <r>
      <rPr>
        <vertAlign val="superscript"/>
        <sz val="7"/>
        <rFont val="Arial MT"/>
        <family val="2"/>
      </rPr>
      <t>5</t>
    </r>
    <r>
      <rPr>
        <sz val="11"/>
        <color theme="1"/>
        <rFont val="Calibri"/>
        <family val="2"/>
        <scheme val="minor"/>
      </rPr>
      <t/>
    </r>
  </si>
  <si>
    <r>
      <rPr>
        <b/>
        <sz val="7"/>
        <rFont val="Arial"/>
        <family val="2"/>
      </rPr>
      <t xml:space="preserve">RR-2C </t>
    </r>
    <r>
      <rPr>
        <sz val="7"/>
        <rFont val="Arial MT"/>
        <family val="2"/>
      </rPr>
      <t>(emulsão asfáltica) - pintura de ligação</t>
    </r>
  </si>
  <si>
    <t>CAP</t>
  </si>
  <si>
    <r>
      <rPr>
        <b/>
        <sz val="7"/>
        <rFont val="Arial"/>
        <family val="2"/>
      </rPr>
      <t>C.A.U.Q.</t>
    </r>
  </si>
  <si>
    <r>
      <rPr>
        <b/>
        <sz val="7"/>
        <rFont val="Arial"/>
        <family val="2"/>
      </rPr>
      <t>MEIO-FIO PARA TRAVAMENTO (GRANITICO)</t>
    </r>
  </si>
  <si>
    <r>
      <rPr>
        <b/>
        <sz val="7"/>
        <rFont val="Arial"/>
        <family val="2"/>
      </rPr>
      <t>m</t>
    </r>
  </si>
  <si>
    <r>
      <rPr>
        <sz val="7"/>
        <rFont val="Arial MT"/>
        <family val="2"/>
      </rPr>
      <t>TRECHO 2 - LADO ESQUERDO</t>
    </r>
  </si>
  <si>
    <r>
      <rPr>
        <sz val="7"/>
        <rFont val="Arial MT"/>
        <family val="2"/>
      </rPr>
      <t>TRECHO 2 - LADO DIREITO</t>
    </r>
  </si>
  <si>
    <r>
      <rPr>
        <sz val="7"/>
        <rFont val="Arial MT"/>
        <family val="2"/>
      </rPr>
      <t>INTERSEÇÃO SE-065 - EIXO PRINCIPAL</t>
    </r>
  </si>
  <si>
    <r>
      <rPr>
        <b/>
        <sz val="7"/>
        <rFont val="Arial"/>
        <family val="2"/>
      </rPr>
      <t xml:space="preserve">PROJETO EXECUTIVO DE ENGENHARIA OBRA: IMPLANTAÇÃO E PAVIMENTAÇÃO
</t>
    </r>
    <r>
      <rPr>
        <b/>
        <sz val="7"/>
        <rFont val="Arial"/>
        <family val="2"/>
      </rPr>
      <t xml:space="preserve">RODOVIA: ACESSO AO DISTRITO INDUSTRIAL DE SÃO CRISTOVÃO
</t>
    </r>
    <r>
      <rPr>
        <b/>
        <sz val="7"/>
        <rFont val="Arial"/>
        <family val="2"/>
      </rPr>
      <t>TRECHO: INTERS. ROD. SE-065 / INTERS. ROD. BR-101 DEMONSTRATIVO DE QUANTIDADES DE PAVIMENTAÇÃO</t>
    </r>
  </si>
  <si>
    <t>UND</t>
  </si>
  <si>
    <t>Acum. Ant</t>
  </si>
  <si>
    <t>Acum. Tot.</t>
  </si>
  <si>
    <t>Saldo à medir</t>
  </si>
  <si>
    <t>Imprimação aplicada em execução de rodovias (prod. = 1.250 m2/h), sem fornecimento de material e sem transporte</t>
  </si>
  <si>
    <t>tkm</t>
  </si>
  <si>
    <t>Memória de Cálculo BM-13</t>
  </si>
  <si>
    <t>DRENAGEM SUPERFICIAL</t>
  </si>
  <si>
    <t xml:space="preserve">PLANILHA DE ACOMPANHAMENTO </t>
  </si>
  <si>
    <t>ESTACAS</t>
  </si>
  <si>
    <t>EXTENSÃO (m)</t>
  </si>
  <si>
    <t>TIPO</t>
  </si>
  <si>
    <t>BORDO</t>
  </si>
  <si>
    <t>CONTRATO</t>
  </si>
  <si>
    <t>ACUM. ANT.</t>
  </si>
  <si>
    <t>DO PERIODO</t>
  </si>
  <si>
    <t>ACUM. PERI.</t>
  </si>
  <si>
    <t>BM12</t>
  </si>
  <si>
    <t>+</t>
  </si>
  <si>
    <t>A</t>
  </si>
  <si>
    <t>TSS</t>
  </si>
  <si>
    <t>ESQUERDO</t>
  </si>
  <si>
    <t>STC01</t>
  </si>
  <si>
    <t>SZC01</t>
  </si>
  <si>
    <t>DIREITO</t>
  </si>
  <si>
    <t>CCT02</t>
  </si>
  <si>
    <t>MFC05</t>
  </si>
  <si>
    <t>CCT04</t>
  </si>
  <si>
    <t>EDA01</t>
  </si>
  <si>
    <t>CCT06</t>
  </si>
  <si>
    <t>DAD02</t>
  </si>
  <si>
    <t>BOCA 120</t>
  </si>
  <si>
    <t>BOCA DE 80</t>
  </si>
  <si>
    <t>DEB04</t>
  </si>
  <si>
    <t>EDA02</t>
  </si>
  <si>
    <t>BEB06</t>
  </si>
  <si>
    <t>MFC-05</t>
  </si>
  <si>
    <t>DAR03</t>
  </si>
  <si>
    <t>STC03</t>
  </si>
  <si>
    <t>BM13</t>
  </si>
  <si>
    <t>DEB-01</t>
  </si>
  <si>
    <t>DEB-02</t>
  </si>
  <si>
    <t>ESQUERDO/DIREITO</t>
  </si>
  <si>
    <t>DEB-03</t>
  </si>
  <si>
    <t>DEB-04</t>
  </si>
  <si>
    <t>DES-03</t>
  </si>
  <si>
    <t>DEB01</t>
  </si>
  <si>
    <t>DEB02</t>
  </si>
  <si>
    <t>MEMORIA DE CÁLCULO TERRAPLENAGEM</t>
  </si>
  <si>
    <r>
      <rPr>
        <sz val="7.5"/>
        <rFont val="Arial MT"/>
        <family val="2"/>
      </rPr>
      <t>PROJETO:</t>
    </r>
  </si>
  <si>
    <t>RODOVIA CARLOS PINA</t>
  </si>
  <si>
    <r>
      <rPr>
        <sz val="7.5"/>
        <rFont val="Arial MT"/>
        <family val="2"/>
      </rPr>
      <t>SERVIÇO:</t>
    </r>
  </si>
  <si>
    <r>
      <rPr>
        <b/>
        <i/>
        <sz val="7.5"/>
        <rFont val="Arial"/>
        <family val="2"/>
      </rPr>
      <t>SEÇOES TRANSVERSAIS</t>
    </r>
  </si>
  <si>
    <r>
      <rPr>
        <sz val="7.5"/>
        <rFont val="Arial MT"/>
        <family val="2"/>
      </rPr>
      <t>LOCAL:</t>
    </r>
    <r>
      <rPr>
        <sz val="7.5"/>
        <rFont val="Times New Roman"/>
        <family val="1"/>
      </rPr>
      <t xml:space="preserve">                      </t>
    </r>
    <r>
      <rPr>
        <b/>
        <i/>
        <sz val="7.5"/>
        <rFont val="Arial"/>
        <family val="2"/>
      </rPr>
      <t xml:space="preserve"> SÃO CRISTOVÃO-SE</t>
    </r>
  </si>
  <si>
    <r>
      <rPr>
        <sz val="7.5"/>
        <rFont val="Arial MT"/>
        <family val="2"/>
      </rPr>
      <t>DATA:</t>
    </r>
  </si>
  <si>
    <t>03 DE dezembro 2024</t>
  </si>
  <si>
    <r>
      <rPr>
        <sz val="7.5"/>
        <rFont val="Arial MT"/>
        <family val="2"/>
      </rPr>
      <t>MATERIAL:</t>
    </r>
    <r>
      <rPr>
        <sz val="7.5"/>
        <rFont val="Times New Roman"/>
        <family val="1"/>
      </rPr>
      <t xml:space="preserve">                 </t>
    </r>
    <r>
      <rPr>
        <b/>
        <i/>
        <sz val="7.5"/>
        <rFont val="Arial"/>
        <family val="2"/>
      </rPr>
      <t>LOCAL</t>
    </r>
  </si>
  <si>
    <t>ESTACA</t>
  </si>
  <si>
    <r>
      <rPr>
        <sz val="7.5"/>
        <rFont val="Arial"/>
        <family val="2"/>
      </rPr>
      <t>ÁREAS m2</t>
    </r>
  </si>
  <si>
    <t>DISTÂNCIA</t>
  </si>
  <si>
    <t>DMT</t>
  </si>
  <si>
    <t>VOL.m3</t>
  </si>
  <si>
    <r>
      <rPr>
        <sz val="7.5"/>
        <rFont val="Arial"/>
        <family val="2"/>
      </rPr>
      <t>VOLUME ACUMULADO m3</t>
    </r>
  </si>
  <si>
    <t>CORTE</t>
  </si>
  <si>
    <t>ATERRO</t>
  </si>
  <si>
    <t>197+00,00</t>
  </si>
  <si>
    <t>197+10,00</t>
  </si>
  <si>
    <t>198+00,00</t>
  </si>
  <si>
    <t>198+10,00</t>
  </si>
  <si>
    <t>199+00,00</t>
  </si>
  <si>
    <t>199+10,00</t>
  </si>
  <si>
    <t>200+00,00</t>
  </si>
  <si>
    <t>200+10,00</t>
  </si>
  <si>
    <t>201+00,00</t>
  </si>
  <si>
    <t>201+10,00</t>
  </si>
  <si>
    <t>202+00,00</t>
  </si>
  <si>
    <t>217+00,00</t>
  </si>
  <si>
    <t>217+10,00</t>
  </si>
  <si>
    <t>218+00,00</t>
  </si>
  <si>
    <t>218+10,00</t>
  </si>
  <si>
    <t>219+00,00</t>
  </si>
  <si>
    <t>219+10,00</t>
  </si>
  <si>
    <t>220+00,00</t>
  </si>
  <si>
    <t>220+10,00</t>
  </si>
  <si>
    <t>221+00,00</t>
  </si>
  <si>
    <t>221+10,00</t>
  </si>
  <si>
    <t>222+00,00</t>
  </si>
  <si>
    <t>222+10,00</t>
  </si>
  <si>
    <t>223+00,00</t>
  </si>
  <si>
    <t>223+10,00</t>
  </si>
  <si>
    <t>224+00,00</t>
  </si>
  <si>
    <t>224+10,00</t>
  </si>
  <si>
    <t>225+00,00</t>
  </si>
  <si>
    <t>225+10,00</t>
  </si>
  <si>
    <t>226+00,00</t>
  </si>
  <si>
    <t>226+10,00</t>
  </si>
  <si>
    <t>227+00,00</t>
  </si>
  <si>
    <t>227+10,00</t>
  </si>
  <si>
    <t>228+00,00</t>
  </si>
  <si>
    <t>228+10,00</t>
  </si>
  <si>
    <t>229+00,00</t>
  </si>
  <si>
    <t>229+10,00</t>
  </si>
  <si>
    <t>230+00,00</t>
  </si>
  <si>
    <t>230+10,00</t>
  </si>
  <si>
    <t>231+00,00</t>
  </si>
  <si>
    <t>231+10,00</t>
  </si>
  <si>
    <t>232+00,00</t>
  </si>
  <si>
    <t>232+10,00</t>
  </si>
  <si>
    <t>233+00,00</t>
  </si>
  <si>
    <t>233+10,00</t>
  </si>
  <si>
    <t>234+00,00</t>
  </si>
  <si>
    <t>234+10,00</t>
  </si>
  <si>
    <t>235+00,00</t>
  </si>
  <si>
    <t>235+10,00</t>
  </si>
  <si>
    <t>236+00,00</t>
  </si>
  <si>
    <t>236+10,00</t>
  </si>
  <si>
    <t>237+00,00</t>
  </si>
  <si>
    <t>237+10,00</t>
  </si>
  <si>
    <t>238+00,00</t>
  </si>
  <si>
    <t>238+10,00</t>
  </si>
  <si>
    <t>239+00,00</t>
  </si>
  <si>
    <t>239+10,00</t>
  </si>
  <si>
    <t>240+00,00</t>
  </si>
  <si>
    <t>240+10,00</t>
  </si>
  <si>
    <t>241+00,00</t>
  </si>
  <si>
    <t>241+10,00</t>
  </si>
  <si>
    <t>242+00,00</t>
  </si>
  <si>
    <t>242+10,00</t>
  </si>
  <si>
    <t>243+00,00</t>
  </si>
  <si>
    <t>243+10,00</t>
  </si>
  <si>
    <t>244+00,00</t>
  </si>
  <si>
    <t>244+10,00</t>
  </si>
  <si>
    <t>245+00,00</t>
  </si>
  <si>
    <t>245+10,00</t>
  </si>
  <si>
    <t>246+00,00</t>
  </si>
  <si>
    <t>246+10,00</t>
  </si>
  <si>
    <t>247+00,00</t>
  </si>
  <si>
    <t>247+10,00</t>
  </si>
  <si>
    <t>248+00,00</t>
  </si>
  <si>
    <t>248+10,00</t>
  </si>
  <si>
    <t>249+00,00</t>
  </si>
  <si>
    <t>249+10,00</t>
  </si>
  <si>
    <t>250+00,00</t>
  </si>
  <si>
    <r>
      <rPr>
        <i/>
        <sz val="9.5"/>
        <color rgb="FF0070C0"/>
        <rFont val="Arial"/>
        <family val="2"/>
      </rPr>
      <t>VOLUME</t>
    </r>
    <r>
      <rPr>
        <sz val="9.5"/>
        <color rgb="FF0070C0"/>
        <rFont val="Times New Roman"/>
        <family val="1"/>
      </rPr>
      <t xml:space="preserve"> </t>
    </r>
    <r>
      <rPr>
        <i/>
        <sz val="9.5"/>
        <color rgb="FF0070C0"/>
        <rFont val="Arial"/>
        <family val="2"/>
      </rPr>
      <t>ATERRO</t>
    </r>
  </si>
  <si>
    <r>
      <rPr>
        <i/>
        <vertAlign val="superscript"/>
        <sz val="14"/>
        <color rgb="FF0070C0"/>
        <rFont val="Arial"/>
        <family val="2"/>
      </rPr>
      <t>VOLUME</t>
    </r>
    <r>
      <rPr>
        <vertAlign val="superscript"/>
        <sz val="14"/>
        <color rgb="FF0070C0"/>
        <rFont val="Times New Roman"/>
        <family val="1"/>
      </rPr>
      <t xml:space="preserve"> </t>
    </r>
    <r>
      <rPr>
        <i/>
        <vertAlign val="superscript"/>
        <sz val="14"/>
        <color rgb="FF0070C0"/>
        <rFont val="Arial"/>
        <family val="2"/>
      </rPr>
      <t>CORTE</t>
    </r>
    <r>
      <rPr>
        <vertAlign val="superscript"/>
        <sz val="14"/>
        <color rgb="FF0070C0"/>
        <rFont val="Times New Roman"/>
        <family val="1"/>
      </rPr>
      <t xml:space="preserve">                   </t>
    </r>
  </si>
  <si>
    <t>RESUMO DE MOVIMENTAÇÃO DE TERRA</t>
  </si>
  <si>
    <t>QTD (M³)</t>
  </si>
  <si>
    <t>OBS:.</t>
  </si>
  <si>
    <t>ESCAVAÇÃO ATÉ 50 M</t>
  </si>
  <si>
    <t>ESCAVAÇÃO ATÉ 200 M</t>
  </si>
  <si>
    <t>ESCAVAÇÃO ATÉ 400 M</t>
  </si>
  <si>
    <t>ESCAVAÇÃO ATÉ 600 M</t>
  </si>
  <si>
    <t>ESCAVAÇÃO ATÉ 800 M</t>
  </si>
  <si>
    <t>ESCAVAÇÃO ATÉ 1000 M</t>
  </si>
  <si>
    <t>ESCAVAÇÃO ATÉ 1200 M</t>
  </si>
  <si>
    <t>ESCAVAÇÃO ATÉ 2500 M</t>
  </si>
  <si>
    <t>COMPACTAÇÃO</t>
  </si>
  <si>
    <t>Fornecedor</t>
  </si>
  <si>
    <t xml:space="preserve">Placa </t>
  </si>
  <si>
    <t>NF Nº</t>
  </si>
  <si>
    <t>Cubagem</t>
  </si>
  <si>
    <t>Data</t>
  </si>
  <si>
    <t>Peso liquido / M³</t>
  </si>
  <si>
    <t>PEDREIRA SÃO JORGE</t>
  </si>
  <si>
    <t>NVL 5288</t>
  </si>
  <si>
    <t>JKH6705</t>
  </si>
  <si>
    <t>HZZ3848</t>
  </si>
  <si>
    <t>KBA5971</t>
  </si>
  <si>
    <t>QVJ 7G22</t>
  </si>
  <si>
    <t>NVK 6233</t>
  </si>
  <si>
    <t>RBQ4A20</t>
  </si>
  <si>
    <t>ORJ8G84</t>
  </si>
  <si>
    <t>HKE5428</t>
  </si>
  <si>
    <t>NTG5J07</t>
  </si>
  <si>
    <t>FAC5717</t>
  </si>
  <si>
    <t>JRK92664</t>
  </si>
  <si>
    <t>CLV2I90</t>
  </si>
  <si>
    <t>IAA0H58</t>
  </si>
  <si>
    <t>NTC5J07</t>
  </si>
  <si>
    <t>NVJ1B20</t>
  </si>
  <si>
    <t>PFJ 8F37</t>
  </si>
  <si>
    <t>NTG 5J07</t>
  </si>
  <si>
    <t>OER 3347</t>
  </si>
  <si>
    <t>NNA8B24</t>
  </si>
  <si>
    <t>QKS 2880</t>
  </si>
  <si>
    <t>JAC5717</t>
  </si>
  <si>
    <t>IAC5717</t>
  </si>
  <si>
    <t>NWA8B24</t>
  </si>
  <si>
    <t>CVV 2I90</t>
  </si>
  <si>
    <t>KQV9D23</t>
  </si>
  <si>
    <t>JRE6C20</t>
  </si>
  <si>
    <t>PEDREIRA SOLAR</t>
  </si>
  <si>
    <t xml:space="preserve">RQZ 7F86 - </t>
  </si>
  <si>
    <t>117748/180520</t>
  </si>
  <si>
    <t>ORF-2F89-</t>
  </si>
  <si>
    <t>117840/180623</t>
  </si>
  <si>
    <t xml:space="preserve">GFG-3139 - </t>
  </si>
  <si>
    <t>117860/180648</t>
  </si>
  <si>
    <t>RBS 1H13 -MARCELO</t>
  </si>
  <si>
    <t>117942/180738</t>
  </si>
  <si>
    <t>RQZ 7I87- ALERCIO</t>
  </si>
  <si>
    <t>117747/180519</t>
  </si>
  <si>
    <t>QKN 7777-MAGNO</t>
  </si>
  <si>
    <t>118003/180807</t>
  </si>
  <si>
    <t>LUJ5199-WELLIGNTON</t>
  </si>
  <si>
    <t>118048/180855</t>
  </si>
  <si>
    <t>RQZ 2F86 -</t>
  </si>
  <si>
    <t>118331/181180</t>
  </si>
  <si>
    <t>FFN 6D59 -</t>
  </si>
  <si>
    <t>118332/181181</t>
  </si>
  <si>
    <t>118301/181145</t>
  </si>
  <si>
    <t>118270/181112</t>
  </si>
  <si>
    <t>QFG 3139</t>
  </si>
  <si>
    <t>118266/181108</t>
  </si>
  <si>
    <t>118361/181214</t>
  </si>
  <si>
    <t>QMN 9G73-MAGNO</t>
  </si>
  <si>
    <t>118992/181561</t>
  </si>
  <si>
    <t>RQW3J59</t>
  </si>
  <si>
    <t>118660/181559</t>
  </si>
  <si>
    <t>RQZ7187-ALERCIO</t>
  </si>
  <si>
    <t>118659/181558</t>
  </si>
  <si>
    <t>118666/181565</t>
  </si>
  <si>
    <t>118665/181564</t>
  </si>
  <si>
    <t>118661/181560</t>
  </si>
  <si>
    <t>RQX 2D26 -</t>
  </si>
  <si>
    <t>118642/181537</t>
  </si>
  <si>
    <t>QRW3H57-GILSON</t>
  </si>
  <si>
    <t>118641/181536</t>
  </si>
  <si>
    <t>ARX-6H31 -</t>
  </si>
  <si>
    <t>118667/181567</t>
  </si>
  <si>
    <t>QMP 7A27-RENILSON</t>
  </si>
  <si>
    <t>118668/181568</t>
  </si>
  <si>
    <t>TOTAL EM M3:</t>
  </si>
  <si>
    <t>TRANSPORTE</t>
  </si>
  <si>
    <t>MEMÓRIA DE CÁLCULO  DRENAGEM</t>
  </si>
  <si>
    <t>DISPOSITIVOS DE DRENAGEM</t>
  </si>
  <si>
    <t>OBS</t>
  </si>
  <si>
    <t>BOCA BDCC</t>
  </si>
  <si>
    <t>RODOVIA/GALERIA</t>
  </si>
  <si>
    <t>POÇO DE VISITA</t>
  </si>
  <si>
    <t>RODOVIA</t>
  </si>
  <si>
    <t>6+13,00</t>
  </si>
  <si>
    <t>INTERSEÇÃO</t>
  </si>
  <si>
    <t>7+17,00</t>
  </si>
  <si>
    <t>INTERSECÇÃO</t>
  </si>
  <si>
    <t>BOCA DE LOBO SIMPLES</t>
  </si>
  <si>
    <t>11 +5,90</t>
  </si>
  <si>
    <t>12 + 10,40</t>
  </si>
  <si>
    <t>CÁLCULO DE VOLUME E.218+0,00m Á E.259+0,00m
ATERRO - RODOVIA CARLOS PINA</t>
  </si>
  <si>
    <t>PROJETO:</t>
  </si>
  <si>
    <t>RODOVIA CARLOS PINA - SÃO CRISTOVÃO</t>
  </si>
  <si>
    <t>SERVIÇO:</t>
  </si>
  <si>
    <t>SEÇOES TRANSVERSAIS - ATERRO</t>
  </si>
  <si>
    <r>
      <t>LOCAL:</t>
    </r>
    <r>
      <rPr>
        <b/>
        <i/>
        <sz val="7.5"/>
        <rFont val="Arial"/>
        <family val="2"/>
      </rPr>
      <t xml:space="preserve">                        </t>
    </r>
  </si>
  <si>
    <t xml:space="preserve">ARACAJU-SE       </t>
  </si>
  <si>
    <t>DATA:</t>
  </si>
  <si>
    <t>06 DE FEVEREIRO DE 2025</t>
  </si>
  <si>
    <t xml:space="preserve">MATERIAL:                 </t>
  </si>
  <si>
    <t>LOCAL</t>
  </si>
  <si>
    <t>218+0,00</t>
  </si>
  <si>
    <t>219+0,00</t>
  </si>
  <si>
    <t>220+0,00</t>
  </si>
  <si>
    <t>221+0,00</t>
  </si>
  <si>
    <t>222+0,00</t>
  </si>
  <si>
    <t>223+0,00</t>
  </si>
  <si>
    <t>224+0,00</t>
  </si>
  <si>
    <t>225+0,00</t>
  </si>
  <si>
    <t>226+0,00</t>
  </si>
  <si>
    <t>227+0,00</t>
  </si>
  <si>
    <t>228+0,00</t>
  </si>
  <si>
    <t>229+0,00</t>
  </si>
  <si>
    <t>230+0,00</t>
  </si>
  <si>
    <t>231+0,00</t>
  </si>
  <si>
    <t>232+0,00</t>
  </si>
  <si>
    <t>233+0,00</t>
  </si>
  <si>
    <t>234+0,00</t>
  </si>
  <si>
    <t>235+0,00</t>
  </si>
  <si>
    <t>236+0,00</t>
  </si>
  <si>
    <t>237+0,00</t>
  </si>
  <si>
    <t>238+0,00</t>
  </si>
  <si>
    <t>239+0,00</t>
  </si>
  <si>
    <t>240+0,00</t>
  </si>
  <si>
    <t>241+0,00</t>
  </si>
  <si>
    <t>242+0,00</t>
  </si>
  <si>
    <t>243+0,00</t>
  </si>
  <si>
    <t>244+0,00</t>
  </si>
  <si>
    <t>245+0,00</t>
  </si>
  <si>
    <t>246+0,00</t>
  </si>
  <si>
    <t>247+0,00</t>
  </si>
  <si>
    <t>248+0,00</t>
  </si>
  <si>
    <t>249+0,00</t>
  </si>
  <si>
    <t>250+0,00</t>
  </si>
  <si>
    <t>250+10,00</t>
  </si>
  <si>
    <t>251+0,00</t>
  </si>
  <si>
    <t>251+10,00</t>
  </si>
  <si>
    <t>252+0,00</t>
  </si>
  <si>
    <t>252+10,00</t>
  </si>
  <si>
    <t>253+0,00</t>
  </si>
  <si>
    <t>253+10,00</t>
  </si>
  <si>
    <t>254+0,00</t>
  </si>
  <si>
    <t>254+10,00</t>
  </si>
  <si>
    <t>255+0,00</t>
  </si>
  <si>
    <t>255+10,00</t>
  </si>
  <si>
    <t>256+0,00</t>
  </si>
  <si>
    <t>256+10,00</t>
  </si>
  <si>
    <t>257+0,00</t>
  </si>
  <si>
    <t>257+10,00</t>
  </si>
  <si>
    <t>258+0,00</t>
  </si>
  <si>
    <t>258+10,00</t>
  </si>
  <si>
    <t>259+0,00</t>
  </si>
  <si>
    <t>VOLUME TOTAL CORTE</t>
  </si>
  <si>
    <t>-----</t>
  </si>
  <si>
    <t>VOLUME TOTAL ATERRO</t>
  </si>
  <si>
    <t>CÁLCULO DE VOLUME E.270+0,00m Á E.306+0,00m
ATERRO - RODOVIA CARLOS PINA</t>
  </si>
  <si>
    <t>292+0,00</t>
  </si>
  <si>
    <t>292+10,00</t>
  </si>
  <si>
    <t>293+0,00</t>
  </si>
  <si>
    <t>293+10,00</t>
  </si>
  <si>
    <t>294+0,00</t>
  </si>
  <si>
    <t>294+10,00</t>
  </si>
  <si>
    <t>295+0,00</t>
  </si>
  <si>
    <t>295+10,00</t>
  </si>
  <si>
    <t>296+0,00</t>
  </si>
  <si>
    <t>296+10,00</t>
  </si>
  <si>
    <t>297+0,00</t>
  </si>
  <si>
    <t>297+10,00</t>
  </si>
  <si>
    <t>298+0,00</t>
  </si>
  <si>
    <t>298+10,00</t>
  </si>
  <si>
    <t>299+0,00</t>
  </si>
  <si>
    <t>299+10,00</t>
  </si>
  <si>
    <t>300+0,00</t>
  </si>
  <si>
    <t>300+10,00</t>
  </si>
  <si>
    <t>301+0,00</t>
  </si>
  <si>
    <t>301+10,00</t>
  </si>
  <si>
    <t>302+0,00</t>
  </si>
  <si>
    <t>302+10,00</t>
  </si>
  <si>
    <t>303+0,00</t>
  </si>
  <si>
    <t>303+10,00</t>
  </si>
  <si>
    <t>304+0,00</t>
  </si>
  <si>
    <t>304+10,00</t>
  </si>
  <si>
    <t>305+0,00</t>
  </si>
  <si>
    <t>305+10,00</t>
  </si>
  <si>
    <t>306+0,00</t>
  </si>
  <si>
    <t>306+10,00</t>
  </si>
  <si>
    <t>307+0,00</t>
  </si>
  <si>
    <t>---------</t>
  </si>
  <si>
    <t>MOVIMENTAÇÃO DE TERRA</t>
  </si>
  <si>
    <r>
      <rPr>
        <b/>
        <sz val="9.5"/>
        <rFont val="Times New Roman"/>
        <family val="1"/>
      </rPr>
      <t>Estaca</t>
    </r>
  </si>
  <si>
    <r>
      <rPr>
        <b/>
        <sz val="9.5"/>
        <rFont val="Times New Roman"/>
        <family val="1"/>
      </rPr>
      <t xml:space="preserve">Área de
</t>
    </r>
    <r>
      <rPr>
        <b/>
        <sz val="9.5"/>
        <rFont val="Times New Roman"/>
        <family val="1"/>
      </rPr>
      <t>Corte (m²)</t>
    </r>
  </si>
  <si>
    <r>
      <rPr>
        <b/>
        <sz val="9.5"/>
        <rFont val="Times New Roman"/>
        <family val="1"/>
      </rPr>
      <t xml:space="preserve">Volume de
</t>
    </r>
    <r>
      <rPr>
        <b/>
        <sz val="9.5"/>
        <rFont val="Times New Roman"/>
        <family val="1"/>
      </rPr>
      <t>Corte (m³)</t>
    </r>
  </si>
  <si>
    <r>
      <rPr>
        <b/>
        <sz val="9.5"/>
        <rFont val="Times New Roman"/>
        <family val="1"/>
      </rPr>
      <t xml:space="preserve">Área de
</t>
    </r>
    <r>
      <rPr>
        <b/>
        <sz val="9.5"/>
        <rFont val="Times New Roman"/>
        <family val="1"/>
      </rPr>
      <t>Aterro (m²)</t>
    </r>
  </si>
  <si>
    <r>
      <rPr>
        <b/>
        <sz val="9.5"/>
        <rFont val="Times New Roman"/>
        <family val="1"/>
      </rPr>
      <t xml:space="preserve">Volume de
</t>
    </r>
    <r>
      <rPr>
        <b/>
        <sz val="9.5"/>
        <rFont val="Times New Roman"/>
        <family val="1"/>
      </rPr>
      <t>Aterro (m³)</t>
    </r>
  </si>
  <si>
    <r>
      <rPr>
        <b/>
        <sz val="9.5"/>
        <rFont val="Times New Roman"/>
        <family val="1"/>
      </rPr>
      <t xml:space="preserve">Vol. Acum. de
</t>
    </r>
    <r>
      <rPr>
        <b/>
        <sz val="9.5"/>
        <rFont val="Times New Roman"/>
        <family val="1"/>
      </rPr>
      <t>Corte (m³)</t>
    </r>
  </si>
  <si>
    <r>
      <rPr>
        <b/>
        <sz val="9.5"/>
        <rFont val="Times New Roman"/>
        <family val="1"/>
      </rPr>
      <t xml:space="preserve">Vol. Acum. de
</t>
    </r>
    <r>
      <rPr>
        <b/>
        <sz val="9.5"/>
        <rFont val="Times New Roman"/>
        <family val="1"/>
      </rPr>
      <t>Aterro (m³)</t>
    </r>
  </si>
  <si>
    <t>EIXO PRINCIPAL DA RODOVIA</t>
  </si>
  <si>
    <r>
      <rPr>
        <sz val="10"/>
        <rFont val="Times New Roman"/>
        <family val="1"/>
      </rPr>
      <t>259+0,00</t>
    </r>
  </si>
  <si>
    <r>
      <rPr>
        <sz val="10"/>
        <rFont val="Times New Roman"/>
        <family val="1"/>
      </rPr>
      <t>259+10,00</t>
    </r>
  </si>
  <si>
    <r>
      <rPr>
        <sz val="10"/>
        <rFont val="Times New Roman"/>
        <family val="1"/>
      </rPr>
      <t>260+0,00</t>
    </r>
  </si>
  <si>
    <r>
      <rPr>
        <sz val="10"/>
        <rFont val="Times New Roman"/>
        <family val="1"/>
      </rPr>
      <t>260+10,00</t>
    </r>
  </si>
  <si>
    <r>
      <rPr>
        <sz val="10"/>
        <rFont val="Times New Roman"/>
        <family val="1"/>
      </rPr>
      <t>261+0,00</t>
    </r>
  </si>
  <si>
    <r>
      <rPr>
        <sz val="10"/>
        <rFont val="Times New Roman"/>
        <family val="1"/>
      </rPr>
      <t>261+10,00</t>
    </r>
  </si>
  <si>
    <r>
      <rPr>
        <sz val="10"/>
        <rFont val="Times New Roman"/>
        <family val="1"/>
      </rPr>
      <t>262+0,00</t>
    </r>
  </si>
  <si>
    <r>
      <rPr>
        <sz val="10"/>
        <rFont val="Times New Roman"/>
        <family val="1"/>
      </rPr>
      <t>262+9,83</t>
    </r>
  </si>
  <si>
    <r>
      <rPr>
        <sz val="10"/>
        <rFont val="Times New Roman"/>
        <family val="1"/>
      </rPr>
      <t>262+10,00</t>
    </r>
  </si>
  <si>
    <r>
      <rPr>
        <sz val="10"/>
        <rFont val="Times New Roman"/>
        <family val="1"/>
      </rPr>
      <t>263+0,00</t>
    </r>
  </si>
  <si>
    <r>
      <rPr>
        <sz val="10"/>
        <rFont val="Times New Roman"/>
        <family val="1"/>
      </rPr>
      <t>263+10,00</t>
    </r>
  </si>
  <si>
    <r>
      <rPr>
        <sz val="10"/>
        <rFont val="Times New Roman"/>
        <family val="1"/>
      </rPr>
      <t>264+0,00</t>
    </r>
  </si>
  <si>
    <r>
      <rPr>
        <sz val="10"/>
        <rFont val="Times New Roman"/>
        <family val="1"/>
      </rPr>
      <t>264+10,00</t>
    </r>
  </si>
  <si>
    <r>
      <rPr>
        <sz val="10"/>
        <rFont val="Times New Roman"/>
        <family val="1"/>
      </rPr>
      <t>265+0,00</t>
    </r>
  </si>
  <si>
    <r>
      <rPr>
        <sz val="10"/>
        <rFont val="Times New Roman"/>
        <family val="1"/>
      </rPr>
      <t>265+10,00</t>
    </r>
  </si>
  <si>
    <r>
      <rPr>
        <sz val="10"/>
        <rFont val="Times New Roman"/>
        <family val="1"/>
      </rPr>
      <t>266+0,00</t>
    </r>
  </si>
  <si>
    <r>
      <rPr>
        <sz val="10"/>
        <rFont val="Times New Roman"/>
        <family val="1"/>
      </rPr>
      <t>266+10,00</t>
    </r>
  </si>
  <si>
    <r>
      <rPr>
        <sz val="10"/>
        <rFont val="Times New Roman"/>
        <family val="1"/>
      </rPr>
      <t>267+0,00</t>
    </r>
  </si>
  <si>
    <r>
      <rPr>
        <sz val="10"/>
        <rFont val="Times New Roman"/>
        <family val="1"/>
      </rPr>
      <t>267+10,00</t>
    </r>
  </si>
  <si>
    <r>
      <rPr>
        <sz val="10"/>
        <rFont val="Times New Roman"/>
        <family val="1"/>
      </rPr>
      <t>268+0,00</t>
    </r>
  </si>
  <si>
    <r>
      <rPr>
        <sz val="10"/>
        <rFont val="Times New Roman"/>
        <family val="1"/>
      </rPr>
      <t>268+10,00</t>
    </r>
  </si>
  <si>
    <r>
      <rPr>
        <sz val="10"/>
        <rFont val="Times New Roman"/>
        <family val="1"/>
      </rPr>
      <t>269+0,00</t>
    </r>
  </si>
  <si>
    <r>
      <rPr>
        <sz val="10"/>
        <rFont val="Times New Roman"/>
        <family val="1"/>
      </rPr>
      <t>269+10,00</t>
    </r>
  </si>
  <si>
    <r>
      <rPr>
        <b/>
        <sz val="10.5"/>
        <rFont val="Times New Roman"/>
        <family val="1"/>
      </rPr>
      <t>EIXO PRINCIPAL DA INTERSEÇÃO COM A SE-065</t>
    </r>
  </si>
  <si>
    <r>
      <rPr>
        <sz val="8.5"/>
        <rFont val="Times New Roman"/>
        <family val="1"/>
      </rPr>
      <t>9+10,00</t>
    </r>
  </si>
  <si>
    <r>
      <rPr>
        <sz val="8.5"/>
        <rFont val="Times New Roman"/>
        <family val="1"/>
      </rPr>
      <t>10+0,00</t>
    </r>
  </si>
  <si>
    <r>
      <rPr>
        <sz val="8.5"/>
        <rFont val="Times New Roman"/>
        <family val="1"/>
      </rPr>
      <t>10+6,83</t>
    </r>
  </si>
  <si>
    <r>
      <rPr>
        <sz val="8.5"/>
        <rFont val="Times New Roman"/>
        <family val="1"/>
      </rPr>
      <t>11+0,00</t>
    </r>
  </si>
  <si>
    <r>
      <rPr>
        <sz val="8.5"/>
        <rFont val="Times New Roman"/>
        <family val="1"/>
      </rPr>
      <t>11+10,00</t>
    </r>
  </si>
  <si>
    <r>
      <rPr>
        <sz val="8.5"/>
        <rFont val="Times New Roman"/>
        <family val="1"/>
      </rPr>
      <t>12+0,00</t>
    </r>
  </si>
  <si>
    <r>
      <rPr>
        <sz val="8.5"/>
        <rFont val="Times New Roman"/>
        <family val="1"/>
      </rPr>
      <t>12+10,00</t>
    </r>
  </si>
  <si>
    <r>
      <rPr>
        <sz val="8.5"/>
        <rFont val="Times New Roman"/>
        <family val="1"/>
      </rPr>
      <t>13+0,00</t>
    </r>
  </si>
  <si>
    <r>
      <rPr>
        <sz val="8.5"/>
        <rFont val="Times New Roman"/>
        <family val="1"/>
      </rPr>
      <t>13+10,00</t>
    </r>
  </si>
  <si>
    <r>
      <rPr>
        <sz val="8.5"/>
        <rFont val="Times New Roman"/>
        <family val="1"/>
      </rPr>
      <t>14+0,00</t>
    </r>
  </si>
  <si>
    <r>
      <rPr>
        <sz val="8.5"/>
        <rFont val="Times New Roman"/>
        <family val="1"/>
      </rPr>
      <t>14+10,00</t>
    </r>
  </si>
  <si>
    <r>
      <rPr>
        <sz val="8.5"/>
        <rFont val="Times New Roman"/>
        <family val="1"/>
      </rPr>
      <t>15+0,00</t>
    </r>
  </si>
  <si>
    <r>
      <rPr>
        <sz val="8.5"/>
        <rFont val="Times New Roman"/>
        <family val="1"/>
      </rPr>
      <t>15+14,00</t>
    </r>
  </si>
  <si>
    <r>
      <rPr>
        <b/>
        <sz val="10.5"/>
        <rFont val="Times New Roman"/>
        <family val="1"/>
      </rPr>
      <t>INTERSEÇÃO - EIXO AUXILIAR 01</t>
    </r>
  </si>
  <si>
    <r>
      <rPr>
        <sz val="8.5"/>
        <rFont val="Times New Roman"/>
        <family val="1"/>
      </rPr>
      <t>0+0,00</t>
    </r>
  </si>
  <si>
    <r>
      <rPr>
        <sz val="8.5"/>
        <rFont val="Times New Roman"/>
        <family val="1"/>
      </rPr>
      <t>0+10,00</t>
    </r>
  </si>
  <si>
    <r>
      <rPr>
        <sz val="8.5"/>
        <rFont val="Times New Roman"/>
        <family val="1"/>
      </rPr>
      <t>1+0,00</t>
    </r>
  </si>
  <si>
    <r>
      <rPr>
        <sz val="8.5"/>
        <rFont val="Times New Roman"/>
        <family val="1"/>
      </rPr>
      <t>1+10,10</t>
    </r>
  </si>
  <si>
    <r>
      <rPr>
        <sz val="8.5"/>
        <rFont val="Times New Roman"/>
        <family val="1"/>
      </rPr>
      <t>2+0,00</t>
    </r>
  </si>
  <si>
    <r>
      <rPr>
        <sz val="8.5"/>
        <rFont val="Times New Roman"/>
        <family val="1"/>
      </rPr>
      <t>2+10,00</t>
    </r>
  </si>
  <si>
    <r>
      <rPr>
        <sz val="8.5"/>
        <rFont val="Times New Roman"/>
        <family val="1"/>
      </rPr>
      <t>3+0,00</t>
    </r>
  </si>
  <si>
    <r>
      <rPr>
        <sz val="8.5"/>
        <rFont val="Times New Roman"/>
        <family val="1"/>
      </rPr>
      <t>3+10,00</t>
    </r>
  </si>
  <si>
    <r>
      <rPr>
        <sz val="8.5"/>
        <rFont val="Times New Roman"/>
        <family val="1"/>
      </rPr>
      <t>3+16,21</t>
    </r>
  </si>
  <si>
    <r>
      <rPr>
        <b/>
        <sz val="10.5"/>
        <rFont val="Times New Roman"/>
        <family val="1"/>
      </rPr>
      <t>INTERSEÇÃO - EIXO AUXILIAR 02</t>
    </r>
  </si>
  <si>
    <r>
      <rPr>
        <sz val="8.5"/>
        <rFont val="Times New Roman"/>
        <family val="1"/>
      </rPr>
      <t>1+10,00</t>
    </r>
  </si>
  <si>
    <r>
      <rPr>
        <sz val="8.5"/>
        <rFont val="Times New Roman"/>
        <family val="1"/>
      </rPr>
      <t>3+14,87</t>
    </r>
  </si>
  <si>
    <r>
      <rPr>
        <b/>
        <sz val="10.5"/>
        <rFont val="Times New Roman"/>
        <family val="1"/>
      </rPr>
      <t>INTERSEÇÃO - EIXO AUXILIAR 03</t>
    </r>
  </si>
  <si>
    <r>
      <rPr>
        <sz val="8.5"/>
        <rFont val="Times New Roman"/>
        <family val="1"/>
      </rPr>
      <t>0+6,16</t>
    </r>
  </si>
  <si>
    <r>
      <rPr>
        <sz val="8.5"/>
        <rFont val="Times New Roman"/>
        <family val="1"/>
      </rPr>
      <t>2+3,64</t>
    </r>
  </si>
  <si>
    <r>
      <rPr>
        <sz val="8.5"/>
        <rFont val="Times New Roman"/>
        <family val="1"/>
      </rPr>
      <t>3+13,65</t>
    </r>
  </si>
  <si>
    <r>
      <rPr>
        <b/>
        <sz val="10.5"/>
        <rFont val="Times New Roman"/>
        <family val="1"/>
      </rPr>
      <t>INTERSEÇÃO - EIXO AUXILIAR 04</t>
    </r>
  </si>
  <si>
    <r>
      <rPr>
        <sz val="8.5"/>
        <rFont val="Times New Roman"/>
        <family val="1"/>
      </rPr>
      <t>0+5,78</t>
    </r>
  </si>
  <si>
    <r>
      <rPr>
        <sz val="8.5"/>
        <rFont val="Times New Roman"/>
        <family val="1"/>
      </rPr>
      <t>3+5,13</t>
    </r>
  </si>
  <si>
    <r>
      <rPr>
        <sz val="8.5"/>
        <rFont val="Times New Roman"/>
        <family val="1"/>
      </rPr>
      <t>3+12,38</t>
    </r>
  </si>
  <si>
    <r>
      <rPr>
        <b/>
        <sz val="10.5"/>
        <rFont val="Times New Roman"/>
        <family val="1"/>
      </rPr>
      <t>INTERSEÇÃO - EIXO AUXILIAR 05</t>
    </r>
  </si>
  <si>
    <r>
      <rPr>
        <sz val="8.5"/>
        <rFont val="Times New Roman"/>
        <family val="1"/>
      </rPr>
      <t>0+15,00</t>
    </r>
  </si>
  <si>
    <r>
      <rPr>
        <sz val="8.5"/>
        <rFont val="Times New Roman"/>
        <family val="1"/>
      </rPr>
      <t>1+8,25</t>
    </r>
  </si>
  <si>
    <r>
      <rPr>
        <b/>
        <sz val="10.5"/>
        <rFont val="Times New Roman"/>
        <family val="1"/>
      </rPr>
      <t>INTERSEÇÃO - EIXO AUXILIAR 06</t>
    </r>
  </si>
  <si>
    <r>
      <rPr>
        <sz val="8.5"/>
        <rFont val="Times New Roman"/>
        <family val="1"/>
      </rPr>
      <t>2+5,13</t>
    </r>
  </si>
  <si>
    <r>
      <rPr>
        <b/>
        <sz val="12"/>
        <rFont val="Times New Roman"/>
        <family val="1"/>
      </rPr>
      <t>RESUMO</t>
    </r>
  </si>
  <si>
    <r>
      <rPr>
        <b/>
        <sz val="10.5"/>
        <rFont val="Times New Roman"/>
        <family val="1"/>
      </rPr>
      <t>Eixo</t>
    </r>
  </si>
  <si>
    <r>
      <rPr>
        <b/>
        <sz val="9.5"/>
        <rFont val="Times New Roman"/>
        <family val="1"/>
      </rPr>
      <t>Corte (m³)</t>
    </r>
  </si>
  <si>
    <r>
      <rPr>
        <b/>
        <sz val="9.5"/>
        <rFont val="Times New Roman"/>
        <family val="1"/>
      </rPr>
      <t xml:space="preserve">Aterro (+15%,
</t>
    </r>
    <r>
      <rPr>
        <b/>
        <sz val="9.5"/>
        <rFont val="Times New Roman"/>
        <family val="1"/>
      </rPr>
      <t>m³)</t>
    </r>
  </si>
  <si>
    <r>
      <rPr>
        <sz val="9.5"/>
        <rFont val="Times New Roman"/>
        <family val="1"/>
      </rPr>
      <t>EIXO PRINCIPAL DA RODOVIA</t>
    </r>
  </si>
  <si>
    <r>
      <rPr>
        <sz val="9.5"/>
        <rFont val="Times New Roman"/>
        <family val="1"/>
      </rPr>
      <t>EIXO PRINCIPAL DA INTERSEÇÃO COM A SE-065</t>
    </r>
  </si>
  <si>
    <r>
      <rPr>
        <sz val="9.5"/>
        <rFont val="Times New Roman"/>
        <family val="1"/>
      </rPr>
      <t>INTERSEÇÃO - EIXO AUXILIAR 01</t>
    </r>
  </si>
  <si>
    <r>
      <rPr>
        <sz val="9.5"/>
        <rFont val="Times New Roman"/>
        <family val="1"/>
      </rPr>
      <t>INTERSEÇÃO - EIXO AUXILIAR 02</t>
    </r>
  </si>
  <si>
    <r>
      <rPr>
        <sz val="9.5"/>
        <rFont val="Times New Roman"/>
        <family val="1"/>
      </rPr>
      <t>INTERSEÇÃO - EIXO AUXILIAR 03</t>
    </r>
  </si>
  <si>
    <r>
      <rPr>
        <sz val="9.5"/>
        <rFont val="Times New Roman"/>
        <family val="1"/>
      </rPr>
      <t>INTERSEÇÃO - EIXO AUXILIAR 04</t>
    </r>
  </si>
  <si>
    <r>
      <rPr>
        <sz val="9.5"/>
        <rFont val="Times New Roman"/>
        <family val="1"/>
      </rPr>
      <t>INTERSEÇÃO - EIXO AUXILIAR 05</t>
    </r>
  </si>
  <si>
    <r>
      <rPr>
        <sz val="9.5"/>
        <rFont val="Times New Roman"/>
        <family val="1"/>
      </rPr>
      <t>INTERSEÇÃO - EIXO AUXILIAR 06</t>
    </r>
  </si>
  <si>
    <r>
      <rPr>
        <sz val="9.5"/>
        <rFont val="Times New Roman"/>
        <family val="1"/>
      </rPr>
      <t>RÓTULA DO DISTRITO INDUSTRIAL</t>
    </r>
  </si>
  <si>
    <r>
      <rPr>
        <b/>
        <sz val="11"/>
        <rFont val="Times New Roman"/>
        <family val="1"/>
      </rPr>
      <t>Total</t>
    </r>
  </si>
  <si>
    <t>MEMÓRIA DE CÁLCULO ADMINISTRAÇÃO</t>
  </si>
  <si>
    <t xml:space="preserve"> FORNECIMENTO DE MATERIAIS BETUMINOSOS</t>
  </si>
  <si>
    <t>TOTAL DOS SERVIÇOS - FORNECIMENTO DO MATERIAL BETUMINOSO</t>
  </si>
  <si>
    <t>Total da Obra</t>
  </si>
  <si>
    <t>ADM LOCAL</t>
  </si>
  <si>
    <t>TOTAL DA OBRA SEM ADM LOCAL</t>
  </si>
  <si>
    <t>ADM LOCAL / (TOTAL DA OBRA SEM ADM LOCAL)</t>
  </si>
  <si>
    <t>ADM LOCAL MEDIÇÃO</t>
  </si>
  <si>
    <t xml:space="preserve">MEDIÇÃO ACUMULADA TOTAL (SEM ADM) </t>
  </si>
  <si>
    <t>ADM LOCAL ACUMULADA</t>
  </si>
  <si>
    <t>ADM LOCAL ACUMULADA ANTERIOR</t>
  </si>
  <si>
    <t>ADM LOCAL (PERIODO)</t>
  </si>
  <si>
    <t>08/05/25 à 31/05/25</t>
  </si>
  <si>
    <t>EDA-01</t>
  </si>
  <si>
    <t>BM 15</t>
  </si>
  <si>
    <r>
      <rPr>
        <b/>
        <sz val="10"/>
        <rFont val="Arial"/>
        <family val="2"/>
      </rPr>
      <t>OBRA:</t>
    </r>
    <r>
      <rPr>
        <sz val="10"/>
        <rFont val="Arial"/>
        <family val="2"/>
      </rPr>
      <t xml:space="preserve"> Execução das obras e serviços de construção da “Rodovia dos Trabalhadores”, que integrará a Rodovia SE-065 à Rodovia BR-101</t>
    </r>
  </si>
  <si>
    <t>08/03 A 07/05/25</t>
  </si>
  <si>
    <r>
      <rPr>
        <b/>
        <sz val="10"/>
        <rFont val="Arial"/>
        <family val="2"/>
      </rPr>
      <t>Contratada:</t>
    </r>
    <r>
      <rPr>
        <sz val="10"/>
        <rFont val="Arial"/>
        <family val="2"/>
      </rPr>
      <t xml:space="preserve"> NOVATEC Construções e Empeendimentos Ltda.</t>
    </r>
  </si>
  <si>
    <t>BM Nº: 07</t>
  </si>
  <si>
    <t>2º Termo do aditivo do contrato 54/2023</t>
  </si>
  <si>
    <r>
      <rPr>
        <b/>
        <sz val="10"/>
        <rFont val="Arial"/>
        <family val="2"/>
      </rPr>
      <t>Contratante:</t>
    </r>
    <r>
      <rPr>
        <sz val="10"/>
        <rFont val="Arial"/>
        <family val="2"/>
      </rPr>
      <t xml:space="preserve"> Prefeitura Municipal de São Cristóvão</t>
    </r>
  </si>
  <si>
    <r>
      <rPr>
        <b/>
        <sz val="10"/>
        <rFont val="Arial"/>
        <family val="2"/>
      </rPr>
      <t xml:space="preserve">Contrato n°: </t>
    </r>
    <r>
      <rPr>
        <sz val="10"/>
        <rFont val="Arial"/>
        <family val="2"/>
      </rPr>
      <t>054/2023</t>
    </r>
  </si>
  <si>
    <t>QUANTITATIVO</t>
  </si>
  <si>
    <t>VALOR (R$)</t>
  </si>
  <si>
    <t>PERCENTUAL MEDIDO</t>
  </si>
  <si>
    <t>03.01.001.010</t>
  </si>
  <si>
    <t>03.01.001.011</t>
  </si>
  <si>
    <t>5501700/SICRO</t>
  </si>
  <si>
    <t>Desmatamento, destocamento, limpeza de área e estocagem do material de limpeza com árvores de diâmetro até 0,15 m</t>
  </si>
  <si>
    <t>03.01.001.012</t>
  </si>
  <si>
    <t>02492/ORSE</t>
  </si>
  <si>
    <t>Destocamento de árvores de diâmetro de 0,15 a 0,30m</t>
  </si>
  <si>
    <t>und</t>
  </si>
  <si>
    <t>03.01.001.013</t>
  </si>
  <si>
    <t>5502904/SICRO</t>
  </si>
  <si>
    <t>Escavação, carga e transporte de solos moles - DMT de 1.000 a 1.200 m - caminho de serviço em leito natural - com caminhão basculante de 14 m³</t>
  </si>
  <si>
    <t>03.01.001.014</t>
  </si>
  <si>
    <t>5502114/SICRO</t>
  </si>
  <si>
    <t xml:space="preserve">Escavação, carga e transporte de material de 1ª categoria - DMT de 1.000 a 1.200 m - caminho de serviço em leito natural -
com escavadeira e caminhão basculante de 14 m³ </t>
  </si>
  <si>
    <t>03.01.001.015</t>
  </si>
  <si>
    <t xml:space="preserve">5502119/SICRO </t>
  </si>
  <si>
    <t xml:space="preserve">Escavação, carga e transporte de material de 1ª categoria - DMT de 2.000 a 2.500 m - caminho de serviço em leito natural -
com escavadeira e caminhão basculante de 14 m³ </t>
  </si>
  <si>
    <t>03.01.001.016</t>
  </si>
  <si>
    <t>00366/SINAPI</t>
  </si>
  <si>
    <t>Aquisição areia fina - posto jazida/fornecedor (retirado na jazida, sem transporte)</t>
  </si>
  <si>
    <t>03.01.001.017</t>
  </si>
  <si>
    <t>5915321/SICRO</t>
  </si>
  <si>
    <t>Transporte com caminhão basculante de 14 m³ - rodovia pavimentada</t>
  </si>
  <si>
    <t>03.01.001.018</t>
  </si>
  <si>
    <t>5915319/SICRO</t>
  </si>
  <si>
    <t>Transporte com caminhão basculante de 14 m³ - rodovia em leito natural</t>
  </si>
  <si>
    <t>03.01.001.019</t>
  </si>
  <si>
    <t>02531/ORSE</t>
  </si>
  <si>
    <t>Aterro de áreas sem aquisição de material, com espalhamento mecânico, sem compactação e sem transporte</t>
  </si>
  <si>
    <t>11722/ORSE</t>
  </si>
  <si>
    <t>ITEM EXISTENTE</t>
  </si>
  <si>
    <t>07.02.005</t>
  </si>
  <si>
    <t>3713611/SICRO</t>
  </si>
  <si>
    <t>Cerca com 4 fios de arame farpado e mourão de concreto de seção triangular de 11 cm a cada 2,5 m e esticador de 15 cm a
cada 50 m - areia extraída e brita produzida</t>
  </si>
  <si>
    <t>07.02.006</t>
  </si>
  <si>
    <t>1600966/SICRO</t>
  </si>
  <si>
    <t>Remoção de cerca com mourões de concreto</t>
  </si>
  <si>
    <t>07.02.007</t>
  </si>
  <si>
    <t>00237/PMSC</t>
  </si>
  <si>
    <t>Marco Inaugural 2,80 x 1,20 m - padrão PMSC</t>
  </si>
  <si>
    <t>07.04.003</t>
  </si>
  <si>
    <t>PESQUISA DE MERCADO</t>
  </si>
  <si>
    <t>Locação de laboratório de solos e asfaltos com um laboratorista e equipamentos</t>
  </si>
  <si>
    <t>07.04.004</t>
  </si>
  <si>
    <t>Revisão completa do projeto executivo incluindo alteração parcial da diretriz inicial</t>
  </si>
  <si>
    <t xml:space="preserve">TOTAL </t>
  </si>
  <si>
    <t>MEMÓRIA DE CALCULO</t>
  </si>
  <si>
    <t>UNT</t>
  </si>
  <si>
    <t>MEMORIA</t>
  </si>
  <si>
    <t>EXT (M)</t>
  </si>
  <si>
    <t>LARG (M)</t>
  </si>
  <si>
    <t>PROF (M)</t>
  </si>
  <si>
    <t>DMT (KM)</t>
  </si>
  <si>
    <t>DENS/EMP</t>
  </si>
  <si>
    <t>M3</t>
  </si>
  <si>
    <t xml:space="preserve">= EXT x LARG X PROF </t>
  </si>
  <si>
    <t>= EXT x LARG X PROF X EMP</t>
  </si>
  <si>
    <t>TKM</t>
  </si>
  <si>
    <t>=VOL X DMT X 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</si>
</sst>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#.##000"/>
    <numFmt numFmtId="165" formatCode="_(* #,##0.00_);_(* \(#,##0.00\);_(* &quot;-&quot;??_);_(@_)"/>
    <numFmt numFmtId="166" formatCode="#,##0.00;\-#,##0.00;"/>
    <numFmt numFmtId="167" formatCode="#,##0.000;\-#,##0.000;"/>
    <numFmt numFmtId="168" formatCode="_-* #,##0.0000_-;\-* #,##0.0000_-;_-* &quot;-&quot;??_-;_-@_-"/>
    <numFmt numFmtId="169" formatCode="&quot;R$&quot;\ #,##0.00"/>
    <numFmt numFmtId="170" formatCode="&quot;R$&quot;\ #,##0.00000000"/>
    <numFmt numFmtId="171" formatCode="0.0000%"/>
    <numFmt numFmtId="172" formatCode="_-* #,##0.00_-;\-* #,##0.00_-;_-* \-??_-;_-@_-"/>
    <numFmt numFmtId="173" formatCode="_-* #,##0.000_-;\-* #,##0.000_-;_-* &quot;-&quot;??_-;_-@_-"/>
    <numFmt numFmtId="174" formatCode="0.00;[Red]0.00"/>
    <numFmt numFmtId="175" formatCode="#,##0.000"/>
    <numFmt numFmtId="176" formatCode="0.000"/>
    <numFmt numFmtId="177" formatCode="##.##000##"/>
  </numFmts>
  <fonts count="10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Times New Roman"/>
      <family val="1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0"/>
      <color rgb="FF000000"/>
      <name val="Times New Roman"/>
      <family val="1"/>
    </font>
    <font>
      <b/>
      <sz val="12"/>
      <color indexed="8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  <charset val="1"/>
    </font>
    <font>
      <i/>
      <sz val="9.5"/>
      <color rgb="FF0000FF"/>
      <name val="Arial"/>
      <family val="2"/>
    </font>
    <font>
      <sz val="7.5"/>
      <name val="Arial MT"/>
    </font>
    <font>
      <sz val="7.5"/>
      <name val="Arial MT"/>
      <family val="2"/>
    </font>
    <font>
      <b/>
      <i/>
      <sz val="7.5"/>
      <name val="Arial"/>
      <family val="2"/>
    </font>
    <font>
      <sz val="7.5"/>
      <name val="Times New Roman"/>
      <family val="2"/>
      <charset val="204"/>
    </font>
    <font>
      <sz val="7.5"/>
      <name val="Times New Roman"/>
      <family val="1"/>
    </font>
    <font>
      <sz val="7.5"/>
      <name val="Arial"/>
      <family val="2"/>
    </font>
    <font>
      <i/>
      <sz val="8.5"/>
      <color rgb="FFFF0000"/>
      <name val="Arial"/>
      <family val="2"/>
    </font>
    <font>
      <i/>
      <sz val="8.5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70C0"/>
      <name val="Times New Roman"/>
      <family val="1"/>
    </font>
    <font>
      <i/>
      <sz val="9.5"/>
      <color rgb="FF0070C0"/>
      <name val="Arial"/>
      <family val="2"/>
    </font>
    <font>
      <sz val="9.5"/>
      <color rgb="FF0070C0"/>
      <name val="Times New Roman"/>
      <family val="1"/>
    </font>
    <font>
      <i/>
      <vertAlign val="superscript"/>
      <sz val="14"/>
      <color rgb="FF0070C0"/>
      <name val="Arial"/>
      <family val="2"/>
    </font>
    <font>
      <vertAlign val="superscript"/>
      <sz val="14"/>
      <color rgb="FF0070C0"/>
      <name val="Times New Roman"/>
      <family val="1"/>
    </font>
    <font>
      <sz val="9.5"/>
      <color rgb="FF0070C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name val="Arial"/>
      <family val="2"/>
    </font>
    <font>
      <b/>
      <sz val="16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  <charset val="1"/>
    </font>
    <font>
      <b/>
      <sz val="8.5"/>
      <name val="Arial"/>
      <family val="2"/>
    </font>
    <font>
      <b/>
      <sz val="7"/>
      <name val="Arial"/>
      <family val="2"/>
    </font>
    <font>
      <b/>
      <vertAlign val="superscript"/>
      <sz val="7"/>
      <name val="Arial"/>
      <family val="2"/>
    </font>
    <font>
      <b/>
      <sz val="6"/>
      <name val="Arial"/>
      <family val="2"/>
    </font>
    <font>
      <sz val="7"/>
      <name val="Arial MT"/>
    </font>
    <font>
      <sz val="7"/>
      <name val="Arial MT"/>
      <family val="2"/>
    </font>
    <font>
      <b/>
      <sz val="7"/>
      <name val="Arial MT"/>
      <family val="2"/>
    </font>
    <font>
      <b/>
      <vertAlign val="subscript"/>
      <sz val="7"/>
      <name val="Arial"/>
      <family val="2"/>
    </font>
    <font>
      <b/>
      <sz val="4.5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 MT"/>
      <family val="2"/>
    </font>
    <font>
      <vertAlign val="superscript"/>
      <sz val="7"/>
      <name val="Arial MT"/>
      <family val="2"/>
    </font>
    <font>
      <b/>
      <sz val="9.5"/>
      <name val="Arial"/>
      <family val="2"/>
    </font>
    <font>
      <b/>
      <sz val="7"/>
      <name val="Arial MT"/>
    </font>
    <font>
      <b/>
      <sz val="9"/>
      <color rgb="FF000000"/>
      <name val="Arial"/>
      <family val="2"/>
    </font>
    <font>
      <b/>
      <i/>
      <sz val="9.5"/>
      <color rgb="FF0070C0"/>
      <name val="Arial"/>
      <family val="2"/>
    </font>
    <font>
      <b/>
      <i/>
      <sz val="10"/>
      <color rgb="FF0070C0"/>
      <name val="Arial"/>
      <family val="2"/>
    </font>
    <font>
      <sz val="8"/>
      <color rgb="FF000000"/>
      <name val="Calibri"/>
      <family val="2"/>
    </font>
    <font>
      <sz val="8"/>
      <name val="Calibri"/>
    </font>
    <font>
      <sz val="8"/>
      <name val="Calibri"/>
      <family val="1"/>
    </font>
    <font>
      <sz val="8"/>
      <color rgb="FF000000"/>
      <name val="Calibri"/>
      <family val="2"/>
      <scheme val="minor"/>
    </font>
    <font>
      <sz val="8"/>
      <name val="Calibri"/>
      <family val="2"/>
    </font>
    <font>
      <sz val="10"/>
      <color rgb="FFFF0000"/>
      <name val="Arial"/>
      <family val="2"/>
    </font>
    <font>
      <b/>
      <sz val="12"/>
      <name val="Times New Roman"/>
      <family val="1"/>
    </font>
    <font>
      <b/>
      <sz val="9.5"/>
      <name val="Times New Roman"/>
      <family val="1"/>
    </font>
    <font>
      <b/>
      <sz val="10.5"/>
      <name val="Times New Roman"/>
      <family val="1"/>
    </font>
    <font>
      <sz val="8.5"/>
      <name val="Times New Roman"/>
      <family val="1"/>
    </font>
    <font>
      <sz val="8.5"/>
      <color rgb="FF000000"/>
      <name val="Times New Roman"/>
      <family val="2"/>
    </font>
    <font>
      <b/>
      <sz val="9.5"/>
      <color rgb="FF000000"/>
      <name val="Times New Roman"/>
      <family val="2"/>
    </font>
    <font>
      <sz val="9.5"/>
      <name val="Times New Roman"/>
      <family val="1"/>
    </font>
    <font>
      <sz val="9.5"/>
      <color rgb="FF000000"/>
      <name val="Times New Roman"/>
      <family val="2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sz val="10"/>
      <color rgb="FF000000"/>
      <name val="Times New Roman"/>
      <family val="2"/>
    </font>
    <font>
      <b/>
      <sz val="10"/>
      <name val="Times New Roman"/>
      <family val="1"/>
    </font>
    <font>
      <b/>
      <sz val="10"/>
      <color rgb="FF0070C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1"/>
        <bgColor indexed="64"/>
      </patternFill>
    </fill>
    <fill>
      <patternFill patternType="solid">
        <fgColor rgb="FFD8D8D8"/>
      </patternFill>
    </fill>
    <fill>
      <patternFill patternType="solid">
        <fgColor rgb="FFF0F0F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EBEBE"/>
      </patternFill>
    </fill>
    <fill>
      <patternFill patternType="solid">
        <fgColor rgb="FFC8C8C8"/>
      </patternFill>
    </fill>
    <fill>
      <patternFill patternType="solid">
        <fgColor rgb="FFDBDBD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8" fillId="0" borderId="0"/>
    <xf numFmtId="0" fontId="18" fillId="0" borderId="0"/>
    <xf numFmtId="165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27" fillId="0" borderId="0"/>
    <xf numFmtId="43" fontId="27" fillId="0" borderId="0" applyFont="0" applyFill="0" applyBorder="0" applyAlignment="0" applyProtection="0"/>
    <xf numFmtId="0" fontId="28" fillId="0" borderId="0"/>
    <xf numFmtId="0" fontId="26" fillId="0" borderId="0"/>
    <xf numFmtId="44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5" fillId="0" borderId="0"/>
    <xf numFmtId="0" fontId="24" fillId="0" borderId="0"/>
    <xf numFmtId="0" fontId="24" fillId="0" borderId="0"/>
    <xf numFmtId="43" fontId="24" fillId="0" borderId="0" applyFont="0" applyFill="0" applyBorder="0" applyAlignment="0" applyProtection="0"/>
    <xf numFmtId="0" fontId="41" fillId="0" borderId="0"/>
    <xf numFmtId="172" fontId="24" fillId="0" borderId="0" applyBorder="0" applyProtection="0"/>
    <xf numFmtId="0" fontId="41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0" fontId="15" fillId="0" borderId="0"/>
    <xf numFmtId="43" fontId="15" fillId="0" borderId="0" applyFill="0" applyBorder="0" applyAlignment="0" applyProtection="0"/>
    <xf numFmtId="44" fontId="15" fillId="0" borderId="0" applyFill="0" applyBorder="0" applyAlignment="0" applyProtection="0"/>
    <xf numFmtId="0" fontId="66" fillId="0" borderId="0"/>
    <xf numFmtId="0" fontId="2" fillId="0" borderId="0"/>
    <xf numFmtId="44" fontId="2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</cellStyleXfs>
  <cellXfs count="718">
    <xf numFmtId="0" fontId="0" fillId="0" borderId="0" xfId="0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top"/>
    </xf>
    <xf numFmtId="4" fontId="9" fillId="2" borderId="0" xfId="0" applyNumberFormat="1" applyFont="1" applyFill="1" applyAlignment="1">
      <alignment vertical="top"/>
    </xf>
    <xf numFmtId="4" fontId="13" fillId="2" borderId="0" xfId="0" applyNumberFormat="1" applyFont="1" applyFill="1" applyAlignment="1">
      <alignment vertical="top"/>
    </xf>
    <xf numFmtId="0" fontId="11" fillId="0" borderId="0" xfId="0" applyFont="1"/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center"/>
    </xf>
    <xf numFmtId="4" fontId="10" fillId="0" borderId="6" xfId="0" applyNumberFormat="1" applyFont="1" applyBorder="1" applyAlignment="1">
      <alignment horizontal="right" vertical="top"/>
    </xf>
    <xf numFmtId="164" fontId="14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14" fontId="21" fillId="0" borderId="0" xfId="0" applyNumberFormat="1" applyFont="1" applyAlignment="1">
      <alignment horizontal="right" vertical="top" readingOrder="1"/>
    </xf>
    <xf numFmtId="0" fontId="10" fillId="0" borderId="0" xfId="0" applyFont="1" applyAlignment="1">
      <alignment horizontal="left" vertical="center" readingOrder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right" vertical="top" wrapText="1"/>
    </xf>
    <xf numFmtId="0" fontId="0" fillId="0" borderId="7" xfId="0" applyBorder="1"/>
    <xf numFmtId="0" fontId="0" fillId="0" borderId="6" xfId="0" applyBorder="1"/>
    <xf numFmtId="0" fontId="15" fillId="0" borderId="0" xfId="0" applyFont="1" applyAlignment="1">
      <alignment horizontal="left" vertical="top" wrapText="1"/>
    </xf>
    <xf numFmtId="166" fontId="16" fillId="0" borderId="0" xfId="0" applyNumberFormat="1" applyFont="1" applyAlignment="1">
      <alignment horizontal="right" vertical="top" wrapText="1"/>
    </xf>
    <xf numFmtId="0" fontId="16" fillId="0" borderId="6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center" readingOrder="1"/>
    </xf>
    <xf numFmtId="14" fontId="21" fillId="0" borderId="7" xfId="0" applyNumberFormat="1" applyFont="1" applyBorder="1" applyAlignment="1">
      <alignment horizontal="right" vertical="top" readingOrder="1"/>
    </xf>
    <xf numFmtId="0" fontId="21" fillId="0" borderId="8" xfId="0" applyFont="1" applyBorder="1" applyAlignment="1">
      <alignment horizontal="left" vertical="center" readingOrder="1"/>
    </xf>
    <xf numFmtId="0" fontId="21" fillId="0" borderId="9" xfId="0" applyFont="1" applyBorder="1" applyAlignment="1">
      <alignment horizontal="left" vertical="center" readingOrder="1"/>
    </xf>
    <xf numFmtId="0" fontId="0" fillId="0" borderId="9" xfId="0" applyBorder="1"/>
    <xf numFmtId="0" fontId="0" fillId="0" borderId="10" xfId="0" applyBorder="1"/>
    <xf numFmtId="0" fontId="16" fillId="0" borderId="0" xfId="0" applyFont="1" applyAlignment="1">
      <alignment vertical="center"/>
    </xf>
    <xf numFmtId="164" fontId="16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left" vertical="top"/>
    </xf>
    <xf numFmtId="0" fontId="0" fillId="4" borderId="0" xfId="0" applyFill="1" applyAlignment="1">
      <alignment horizontal="left" vertical="top"/>
    </xf>
    <xf numFmtId="0" fontId="16" fillId="3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2" fontId="13" fillId="2" borderId="1" xfId="0" applyNumberFormat="1" applyFont="1" applyFill="1" applyBorder="1" applyAlignment="1">
      <alignment horizontal="right" vertical="top" shrinkToFit="1"/>
    </xf>
    <xf numFmtId="0" fontId="15" fillId="2" borderId="1" xfId="0" applyFont="1" applyFill="1" applyBorder="1" applyAlignment="1">
      <alignment horizontal="right" vertical="top" wrapText="1"/>
    </xf>
    <xf numFmtId="4" fontId="13" fillId="2" borderId="1" xfId="0" applyNumberFormat="1" applyFont="1" applyFill="1" applyBorder="1" applyAlignment="1">
      <alignment horizontal="right" vertical="top" shrinkToFit="1"/>
    </xf>
    <xf numFmtId="0" fontId="15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horizontal="left" vertical="top" wrapText="1"/>
    </xf>
    <xf numFmtId="4" fontId="16" fillId="3" borderId="13" xfId="0" applyNumberFormat="1" applyFont="1" applyFill="1" applyBorder="1" applyAlignment="1">
      <alignment horizontal="center" vertical="center"/>
    </xf>
    <xf numFmtId="164" fontId="16" fillId="3" borderId="12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right" vertical="top" wrapText="1"/>
    </xf>
    <xf numFmtId="166" fontId="22" fillId="5" borderId="1" xfId="0" applyNumberFormat="1" applyFont="1" applyFill="1" applyBorder="1" applyAlignment="1">
      <alignment horizontal="right" vertical="top" readingOrder="1"/>
    </xf>
    <xf numFmtId="4" fontId="13" fillId="5" borderId="1" xfId="0" applyNumberFormat="1" applyFont="1" applyFill="1" applyBorder="1" applyAlignment="1">
      <alignment horizontal="right" vertical="top" wrapText="1"/>
    </xf>
    <xf numFmtId="4" fontId="17" fillId="5" borderId="1" xfId="0" applyNumberFormat="1" applyFont="1" applyFill="1" applyBorder="1" applyAlignment="1">
      <alignment horizontal="right" vertical="top" shrinkToFit="1"/>
    </xf>
    <xf numFmtId="2" fontId="13" fillId="5" borderId="1" xfId="0" applyNumberFormat="1" applyFont="1" applyFill="1" applyBorder="1" applyAlignment="1">
      <alignment horizontal="right" vertical="top" shrinkToFit="1"/>
    </xf>
    <xf numFmtId="0" fontId="16" fillId="6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right" vertical="top" wrapText="1"/>
    </xf>
    <xf numFmtId="166" fontId="22" fillId="6" borderId="1" xfId="0" applyNumberFormat="1" applyFont="1" applyFill="1" applyBorder="1" applyAlignment="1">
      <alignment horizontal="right" vertical="top" readingOrder="1"/>
    </xf>
    <xf numFmtId="4" fontId="13" fillId="6" borderId="1" xfId="0" applyNumberFormat="1" applyFont="1" applyFill="1" applyBorder="1" applyAlignment="1">
      <alignment horizontal="right" vertical="top" wrapText="1"/>
    </xf>
    <xf numFmtId="4" fontId="17" fillId="6" borderId="1" xfId="0" applyNumberFormat="1" applyFont="1" applyFill="1" applyBorder="1" applyAlignment="1">
      <alignment horizontal="right" vertical="top" shrinkToFit="1"/>
    </xf>
    <xf numFmtId="2" fontId="13" fillId="6" borderId="1" xfId="0" applyNumberFormat="1" applyFont="1" applyFill="1" applyBorder="1" applyAlignment="1">
      <alignment horizontal="right" vertical="top" shrinkToFit="1"/>
    </xf>
    <xf numFmtId="0" fontId="13" fillId="6" borderId="1" xfId="0" applyFont="1" applyFill="1" applyBorder="1" applyAlignment="1">
      <alignment horizontal="left" vertical="top" wrapText="1"/>
    </xf>
    <xf numFmtId="4" fontId="13" fillId="6" borderId="1" xfId="0" applyNumberFormat="1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4" fontId="13" fillId="5" borderId="1" xfId="0" applyNumberFormat="1" applyFont="1" applyFill="1" applyBorder="1" applyAlignment="1">
      <alignment horizontal="left" vertical="top" wrapText="1"/>
    </xf>
    <xf numFmtId="0" fontId="16" fillId="7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right" vertical="top" wrapText="1"/>
    </xf>
    <xf numFmtId="4" fontId="13" fillId="7" borderId="1" xfId="0" applyNumberFormat="1" applyFont="1" applyFill="1" applyBorder="1" applyAlignment="1">
      <alignment horizontal="right" vertical="top" wrapText="1"/>
    </xf>
    <xf numFmtId="4" fontId="17" fillId="7" borderId="1" xfId="0" applyNumberFormat="1" applyFont="1" applyFill="1" applyBorder="1" applyAlignment="1">
      <alignment horizontal="right" vertical="top" shrinkToFit="1"/>
    </xf>
    <xf numFmtId="2" fontId="13" fillId="7" borderId="1" xfId="0" applyNumberFormat="1" applyFont="1" applyFill="1" applyBorder="1" applyAlignment="1">
      <alignment horizontal="right" vertical="top" shrinkToFit="1"/>
    </xf>
    <xf numFmtId="43" fontId="13" fillId="2" borderId="1" xfId="6" applyFont="1" applyFill="1" applyBorder="1" applyAlignment="1">
      <alignment horizontal="right" vertical="top" shrinkToFit="1"/>
    </xf>
    <xf numFmtId="43" fontId="17" fillId="6" borderId="1" xfId="6" applyFont="1" applyFill="1" applyBorder="1" applyAlignment="1">
      <alignment horizontal="right" vertical="top" shrinkToFit="1"/>
    </xf>
    <xf numFmtId="43" fontId="17" fillId="5" borderId="1" xfId="6" applyFont="1" applyFill="1" applyBorder="1" applyAlignment="1">
      <alignment horizontal="right" vertical="top" shrinkToFit="1"/>
    </xf>
    <xf numFmtId="43" fontId="17" fillId="7" borderId="1" xfId="6" applyFont="1" applyFill="1" applyBorder="1" applyAlignment="1">
      <alignment horizontal="right" vertical="top" shrinkToFit="1"/>
    </xf>
    <xf numFmtId="43" fontId="16" fillId="3" borderId="1" xfId="6" applyFont="1" applyFill="1" applyBorder="1" applyAlignment="1">
      <alignment horizontal="right" vertical="top"/>
    </xf>
    <xf numFmtId="0" fontId="22" fillId="0" borderId="8" xfId="0" applyFont="1" applyBorder="1" applyAlignment="1">
      <alignment horizontal="left" vertical="center" readingOrder="1"/>
    </xf>
    <xf numFmtId="0" fontId="22" fillId="0" borderId="9" xfId="0" applyFont="1" applyBorder="1" applyAlignment="1">
      <alignment horizontal="left" vertical="center" readingOrder="1"/>
    </xf>
    <xf numFmtId="43" fontId="0" fillId="0" borderId="0" xfId="0" applyNumberFormat="1" applyAlignment="1">
      <alignment horizontal="left" vertical="top"/>
    </xf>
    <xf numFmtId="10" fontId="0" fillId="0" borderId="0" xfId="7" applyNumberFormat="1" applyFont="1" applyAlignment="1">
      <alignment horizontal="left" vertical="top"/>
    </xf>
    <xf numFmtId="168" fontId="0" fillId="0" borderId="0" xfId="0" applyNumberFormat="1" applyAlignment="1">
      <alignment horizontal="left" vertical="top"/>
    </xf>
    <xf numFmtId="0" fontId="15" fillId="3" borderId="2" xfId="0" applyFont="1" applyFill="1" applyBorder="1" applyAlignment="1">
      <alignment horizontal="left"/>
    </xf>
    <xf numFmtId="0" fontId="16" fillId="2" borderId="14" xfId="0" applyFont="1" applyFill="1" applyBorder="1" applyAlignment="1">
      <alignment horizontal="left" vertical="top" wrapText="1"/>
    </xf>
    <xf numFmtId="0" fontId="16" fillId="2" borderId="15" xfId="0" applyFont="1" applyFill="1" applyBorder="1" applyAlignment="1">
      <alignment vertical="top" wrapText="1"/>
    </xf>
    <xf numFmtId="0" fontId="16" fillId="2" borderId="17" xfId="0" applyFont="1" applyFill="1" applyBorder="1" applyAlignment="1">
      <alignment horizontal="left" vertical="top" wrapText="1"/>
    </xf>
    <xf numFmtId="0" fontId="16" fillId="2" borderId="18" xfId="0" applyFont="1" applyFill="1" applyBorder="1" applyAlignment="1">
      <alignment vertical="top" wrapText="1"/>
    </xf>
    <xf numFmtId="0" fontId="16" fillId="2" borderId="19" xfId="0" applyFont="1" applyFill="1" applyBorder="1" applyAlignment="1">
      <alignment horizontal="left" vertical="top" wrapText="1"/>
    </xf>
    <xf numFmtId="0" fontId="16" fillId="2" borderId="20" xfId="0" applyFont="1" applyFill="1" applyBorder="1" applyAlignment="1">
      <alignment vertical="top" wrapText="1"/>
    </xf>
    <xf numFmtId="0" fontId="16" fillId="3" borderId="1" xfId="0" applyFont="1" applyFill="1" applyBorder="1" applyAlignment="1">
      <alignment vertical="center" wrapText="1"/>
    </xf>
    <xf numFmtId="43" fontId="17" fillId="2" borderId="15" xfId="6" applyFont="1" applyFill="1" applyBorder="1" applyAlignment="1">
      <alignment horizontal="right" vertical="top" shrinkToFit="1"/>
    </xf>
    <xf numFmtId="0" fontId="16" fillId="3" borderId="1" xfId="0" applyFont="1" applyFill="1" applyBorder="1" applyAlignment="1">
      <alignment vertical="top" wrapText="1"/>
    </xf>
    <xf numFmtId="43" fontId="16" fillId="3" borderId="1" xfId="6" applyFont="1" applyFill="1" applyBorder="1" applyAlignment="1">
      <alignment vertical="top" wrapText="1"/>
    </xf>
    <xf numFmtId="43" fontId="17" fillId="2" borderId="18" xfId="6" applyFont="1" applyFill="1" applyBorder="1" applyAlignment="1">
      <alignment horizontal="right" vertical="top" shrinkToFit="1"/>
    </xf>
    <xf numFmtId="43" fontId="17" fillId="2" borderId="20" xfId="6" applyFont="1" applyFill="1" applyBorder="1" applyAlignment="1">
      <alignment horizontal="right" vertical="top" shrinkToFit="1"/>
    </xf>
    <xf numFmtId="166" fontId="16" fillId="0" borderId="0" xfId="0" applyNumberFormat="1" applyFont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top"/>
    </xf>
    <xf numFmtId="0" fontId="16" fillId="6" borderId="1" xfId="0" quotePrefix="1" applyFont="1" applyFill="1" applyBorder="1" applyAlignment="1">
      <alignment horizontal="left" vertical="top" wrapText="1"/>
    </xf>
    <xf numFmtId="43" fontId="0" fillId="0" borderId="0" xfId="6" applyFont="1" applyAlignment="1">
      <alignment horizontal="right" vertical="top"/>
    </xf>
    <xf numFmtId="43" fontId="16" fillId="3" borderId="12" xfId="6" applyFont="1" applyFill="1" applyBorder="1" applyAlignment="1">
      <alignment horizontal="center" vertical="center"/>
    </xf>
    <xf numFmtId="43" fontId="17" fillId="2" borderId="16" xfId="6" applyFont="1" applyFill="1" applyBorder="1" applyAlignment="1">
      <alignment horizontal="right" vertical="top" shrinkToFit="1"/>
    </xf>
    <xf numFmtId="167" fontId="22" fillId="0" borderId="1" xfId="0" quotePrefix="1" applyNumberFormat="1" applyFont="1" applyBorder="1" applyAlignment="1">
      <alignment horizontal="right" vertical="top" readingOrder="1"/>
    </xf>
    <xf numFmtId="167" fontId="22" fillId="0" borderId="1" xfId="0" applyNumberFormat="1" applyFont="1" applyBorder="1" applyAlignment="1">
      <alignment horizontal="right" vertical="top" readingOrder="1"/>
    </xf>
    <xf numFmtId="167" fontId="22" fillId="0" borderId="1" xfId="0" applyNumberFormat="1" applyFont="1" applyBorder="1" applyAlignment="1">
      <alignment horizontal="right" vertical="top" wrapText="1" readingOrder="1"/>
    </xf>
    <xf numFmtId="167" fontId="22" fillId="0" borderId="1" xfId="0" applyNumberFormat="1" applyFont="1" applyBorder="1" applyAlignment="1">
      <alignment horizontal="left" vertical="top" wrapText="1" readingOrder="1"/>
    </xf>
    <xf numFmtId="0" fontId="26" fillId="0" borderId="0" xfId="14" applyAlignment="1">
      <alignment horizontal="left" vertical="top"/>
    </xf>
    <xf numFmtId="169" fontId="26" fillId="0" borderId="0" xfId="14" applyNumberFormat="1" applyAlignment="1">
      <alignment horizontal="left" vertical="top"/>
    </xf>
    <xf numFmtId="0" fontId="25" fillId="0" borderId="0" xfId="0" applyFont="1" applyAlignment="1">
      <alignment vertical="top" readingOrder="1"/>
    </xf>
    <xf numFmtId="0" fontId="22" fillId="0" borderId="0" xfId="0" applyFont="1" applyAlignment="1">
      <alignment vertical="center" readingOrder="1"/>
    </xf>
    <xf numFmtId="0" fontId="21" fillId="0" borderId="1" xfId="0" applyFont="1" applyBorder="1" applyAlignment="1">
      <alignment horizontal="left" vertical="center" readingOrder="1"/>
    </xf>
    <xf numFmtId="0" fontId="10" fillId="0" borderId="1" xfId="0" applyFont="1" applyBorder="1" applyAlignment="1">
      <alignment horizontal="left" vertical="center" readingOrder="1"/>
    </xf>
    <xf numFmtId="0" fontId="22" fillId="0" borderId="1" xfId="0" applyFont="1" applyBorder="1" applyAlignment="1">
      <alignment horizontal="left" vertical="center" readingOrder="1"/>
    </xf>
    <xf numFmtId="0" fontId="22" fillId="0" borderId="1" xfId="0" applyFont="1" applyBorder="1" applyAlignment="1">
      <alignment vertical="center" readingOrder="1"/>
    </xf>
    <xf numFmtId="0" fontId="34" fillId="9" borderId="1" xfId="14" applyFont="1" applyFill="1" applyBorder="1" applyAlignment="1">
      <alignment horizontal="center" vertical="center" wrapText="1"/>
    </xf>
    <xf numFmtId="169" fontId="35" fillId="9" borderId="1" xfId="15" applyNumberFormat="1" applyFont="1" applyFill="1" applyBorder="1" applyAlignment="1">
      <alignment horizontal="center" vertical="center"/>
    </xf>
    <xf numFmtId="0" fontId="34" fillId="9" borderId="1" xfId="14" applyFont="1" applyFill="1" applyBorder="1" applyAlignment="1">
      <alignment horizontal="center" vertical="center"/>
    </xf>
    <xf numFmtId="169" fontId="34" fillId="9" borderId="1" xfId="14" applyNumberFormat="1" applyFont="1" applyFill="1" applyBorder="1" applyAlignment="1">
      <alignment horizontal="center" vertical="center"/>
    </xf>
    <xf numFmtId="0" fontId="34" fillId="8" borderId="1" xfId="14" applyFont="1" applyFill="1" applyBorder="1" applyAlignment="1">
      <alignment horizontal="center" vertical="center"/>
    </xf>
    <xf numFmtId="169" fontId="34" fillId="8" borderId="1" xfId="14" applyNumberFormat="1" applyFont="1" applyFill="1" applyBorder="1" applyAlignment="1">
      <alignment horizontal="center" vertical="center"/>
    </xf>
    <xf numFmtId="0" fontId="34" fillId="8" borderId="1" xfId="14" applyFont="1" applyFill="1" applyBorder="1" applyAlignment="1">
      <alignment horizontal="center" vertical="center" wrapText="1"/>
    </xf>
    <xf numFmtId="170" fontId="34" fillId="8" borderId="1" xfId="14" applyNumberFormat="1" applyFont="1" applyFill="1" applyBorder="1" applyAlignment="1">
      <alignment horizontal="center" vertical="center"/>
    </xf>
    <xf numFmtId="0" fontId="34" fillId="0" borderId="0" xfId="14" applyFont="1" applyAlignment="1">
      <alignment horizontal="center" vertical="center" wrapText="1"/>
    </xf>
    <xf numFmtId="170" fontId="34" fillId="0" borderId="0" xfId="14" applyNumberFormat="1" applyFont="1" applyAlignment="1">
      <alignment horizontal="center" vertical="center"/>
    </xf>
    <xf numFmtId="171" fontId="24" fillId="0" borderId="0" xfId="7" applyNumberFormat="1" applyAlignment="1">
      <alignment horizontal="left" vertical="top"/>
    </xf>
    <xf numFmtId="0" fontId="15" fillId="6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right" vertical="top" wrapText="1"/>
    </xf>
    <xf numFmtId="166" fontId="15" fillId="6" borderId="1" xfId="0" applyNumberFormat="1" applyFont="1" applyFill="1" applyBorder="1" applyAlignment="1">
      <alignment horizontal="left" vertical="top" indent="2" readingOrder="1"/>
    </xf>
    <xf numFmtId="167" fontId="15" fillId="6" borderId="1" xfId="0" applyNumberFormat="1" applyFont="1" applyFill="1" applyBorder="1" applyAlignment="1">
      <alignment horizontal="right" vertical="top" readingOrder="1"/>
    </xf>
    <xf numFmtId="166" fontId="15" fillId="6" borderId="1" xfId="0" applyNumberFormat="1" applyFont="1" applyFill="1" applyBorder="1" applyAlignment="1">
      <alignment horizontal="right" vertical="top" readingOrder="1"/>
    </xf>
    <xf numFmtId="4" fontId="15" fillId="6" borderId="1" xfId="0" applyNumberFormat="1" applyFont="1" applyFill="1" applyBorder="1" applyAlignment="1">
      <alignment horizontal="right" vertical="top" wrapText="1"/>
    </xf>
    <xf numFmtId="43" fontId="16" fillId="6" borderId="1" xfId="6" applyFont="1" applyFill="1" applyBorder="1" applyAlignment="1">
      <alignment horizontal="right" vertical="top" shrinkToFit="1"/>
    </xf>
    <xf numFmtId="2" fontId="15" fillId="6" borderId="1" xfId="0" applyNumberFormat="1" applyFont="1" applyFill="1" applyBorder="1" applyAlignment="1">
      <alignment horizontal="right" vertical="top" shrinkToFit="1"/>
    </xf>
    <xf numFmtId="2" fontId="30" fillId="0" borderId="0" xfId="0" applyNumberFormat="1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right" vertical="top" wrapText="1"/>
    </xf>
    <xf numFmtId="166" fontId="15" fillId="5" borderId="1" xfId="0" applyNumberFormat="1" applyFont="1" applyFill="1" applyBorder="1" applyAlignment="1">
      <alignment horizontal="left" vertical="top" indent="2" readingOrder="1"/>
    </xf>
    <xf numFmtId="167" fontId="15" fillId="5" borderId="1" xfId="0" applyNumberFormat="1" applyFont="1" applyFill="1" applyBorder="1" applyAlignment="1">
      <alignment horizontal="right" vertical="top" readingOrder="1"/>
    </xf>
    <xf numFmtId="166" fontId="15" fillId="5" borderId="1" xfId="0" applyNumberFormat="1" applyFont="1" applyFill="1" applyBorder="1" applyAlignment="1">
      <alignment horizontal="right" vertical="top" readingOrder="1"/>
    </xf>
    <xf numFmtId="4" fontId="15" fillId="5" borderId="1" xfId="0" applyNumberFormat="1" applyFont="1" applyFill="1" applyBorder="1" applyAlignment="1">
      <alignment horizontal="right" vertical="top" wrapText="1"/>
    </xf>
    <xf numFmtId="43" fontId="16" fillId="5" borderId="1" xfId="6" applyFont="1" applyFill="1" applyBorder="1" applyAlignment="1">
      <alignment horizontal="right" vertical="top" shrinkToFit="1"/>
    </xf>
    <xf numFmtId="2" fontId="15" fillId="5" borderId="1" xfId="0" applyNumberFormat="1" applyFont="1" applyFill="1" applyBorder="1" applyAlignment="1">
      <alignment horizontal="right" vertical="top" shrinkToFit="1"/>
    </xf>
    <xf numFmtId="166" fontId="15" fillId="0" borderId="1" xfId="0" applyNumberFormat="1" applyFont="1" applyBorder="1" applyAlignment="1">
      <alignment horizontal="left" vertical="top" indent="2" readingOrder="1"/>
    </xf>
    <xf numFmtId="167" fontId="15" fillId="0" borderId="1" xfId="0" applyNumberFormat="1" applyFont="1" applyBorder="1" applyAlignment="1">
      <alignment horizontal="right" vertical="top" readingOrder="1"/>
    </xf>
    <xf numFmtId="166" fontId="15" fillId="0" borderId="1" xfId="0" applyNumberFormat="1" applyFont="1" applyBorder="1" applyAlignment="1">
      <alignment horizontal="right" vertical="top" readingOrder="1"/>
    </xf>
    <xf numFmtId="4" fontId="15" fillId="2" borderId="1" xfId="0" applyNumberFormat="1" applyFont="1" applyFill="1" applyBorder="1" applyAlignment="1">
      <alignment horizontal="right" vertical="top" shrinkToFit="1"/>
    </xf>
    <xf numFmtId="43" fontId="15" fillId="2" borderId="1" xfId="6" applyFont="1" applyFill="1" applyBorder="1" applyAlignment="1">
      <alignment horizontal="right" vertical="top" shrinkToFit="1"/>
    </xf>
    <xf numFmtId="2" fontId="15" fillId="2" borderId="1" xfId="0" applyNumberFormat="1" applyFont="1" applyFill="1" applyBorder="1" applyAlignment="1">
      <alignment horizontal="right" vertical="top" shrinkToFit="1"/>
    </xf>
    <xf numFmtId="4" fontId="16" fillId="5" borderId="1" xfId="0" applyNumberFormat="1" applyFont="1" applyFill="1" applyBorder="1" applyAlignment="1">
      <alignment horizontal="right" vertical="top" shrinkToFit="1"/>
    </xf>
    <xf numFmtId="0" fontId="30" fillId="4" borderId="0" xfId="0" applyFont="1" applyFill="1" applyAlignment="1">
      <alignment horizontal="left" vertical="top"/>
    </xf>
    <xf numFmtId="4" fontId="24" fillId="0" borderId="0" xfId="18" applyNumberFormat="1"/>
    <xf numFmtId="0" fontId="24" fillId="0" borderId="0" xfId="18" applyAlignment="1">
      <alignment horizontal="left" vertical="top"/>
    </xf>
    <xf numFmtId="2" fontId="38" fillId="13" borderId="21" xfId="19" applyNumberFormat="1" applyFont="1" applyFill="1" applyBorder="1" applyAlignment="1">
      <alignment horizontal="center" vertical="center"/>
    </xf>
    <xf numFmtId="49" fontId="38" fillId="13" borderId="12" xfId="19" applyNumberFormat="1" applyFont="1" applyFill="1" applyBorder="1" applyAlignment="1">
      <alignment horizontal="center" vertical="center"/>
    </xf>
    <xf numFmtId="2" fontId="38" fillId="13" borderId="12" xfId="19" applyNumberFormat="1" applyFont="1" applyFill="1" applyBorder="1" applyAlignment="1">
      <alignment horizontal="center" vertical="center"/>
    </xf>
    <xf numFmtId="49" fontId="38" fillId="13" borderId="1" xfId="19" applyNumberFormat="1" applyFont="1" applyFill="1" applyBorder="1" applyAlignment="1">
      <alignment horizontal="center" vertical="center"/>
    </xf>
    <xf numFmtId="2" fontId="38" fillId="13" borderId="1" xfId="19" applyNumberFormat="1" applyFont="1" applyFill="1" applyBorder="1" applyAlignment="1">
      <alignment horizontal="center" vertical="center"/>
    </xf>
    <xf numFmtId="2" fontId="39" fillId="13" borderId="1" xfId="20" applyNumberFormat="1" applyFont="1" applyFill="1" applyBorder="1" applyAlignment="1" applyProtection="1">
      <alignment horizontal="center" vertical="center" wrapText="1"/>
    </xf>
    <xf numFmtId="2" fontId="39" fillId="13" borderId="1" xfId="20" applyNumberFormat="1" applyFont="1" applyFill="1" applyBorder="1" applyAlignment="1" applyProtection="1">
      <alignment horizontal="center" wrapText="1"/>
    </xf>
    <xf numFmtId="4" fontId="34" fillId="0" borderId="0" xfId="18" applyNumberFormat="1" applyFont="1" applyAlignment="1">
      <alignment horizontal="center" vertical="center"/>
    </xf>
    <xf numFmtId="173" fontId="34" fillId="8" borderId="1" xfId="6" applyNumberFormat="1" applyFont="1" applyFill="1" applyBorder="1" applyAlignment="1">
      <alignment horizontal="center" vertical="center"/>
    </xf>
    <xf numFmtId="2" fontId="4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4" fontId="49" fillId="0" borderId="0" xfId="0" applyNumberFormat="1" applyFont="1" applyAlignment="1">
      <alignment horizontal="left" vertical="top" indent="3" shrinkToFit="1"/>
    </xf>
    <xf numFmtId="174" fontId="49" fillId="0" borderId="0" xfId="0" applyNumberFormat="1" applyFont="1" applyAlignment="1">
      <alignment horizontal="center" vertical="top" shrinkToFit="1"/>
    </xf>
    <xf numFmtId="2" fontId="50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left" wrapText="1"/>
    </xf>
    <xf numFmtId="2" fontId="50" fillId="0" borderId="0" xfId="0" applyNumberFormat="1" applyFont="1" applyAlignment="1">
      <alignment horizontal="left" vertical="top" indent="2" shrinkToFit="1"/>
    </xf>
    <xf numFmtId="2" fontId="13" fillId="0" borderId="1" xfId="0" applyNumberFormat="1" applyFont="1" applyBorder="1" applyAlignment="1">
      <alignment horizontal="center" vertical="center" wrapText="1"/>
    </xf>
    <xf numFmtId="0" fontId="51" fillId="0" borderId="0" xfId="0" applyFont="1" applyAlignment="1">
      <alignment horizontal="left" vertical="top"/>
    </xf>
    <xf numFmtId="2" fontId="51" fillId="0" borderId="0" xfId="0" applyNumberFormat="1" applyFont="1" applyAlignment="1">
      <alignment horizontal="left" vertical="top"/>
    </xf>
    <xf numFmtId="43" fontId="0" fillId="0" borderId="0" xfId="6" applyFont="1" applyAlignment="1">
      <alignment horizontal="left" vertical="top"/>
    </xf>
    <xf numFmtId="43" fontId="0" fillId="0" borderId="1" xfId="6" applyFont="1" applyBorder="1" applyAlignment="1">
      <alignment horizontal="center" vertical="top"/>
    </xf>
    <xf numFmtId="43" fontId="51" fillId="0" borderId="1" xfId="6" applyFont="1" applyBorder="1" applyAlignment="1">
      <alignment horizontal="center" vertical="top"/>
    </xf>
    <xf numFmtId="0" fontId="52" fillId="0" borderId="1" xfId="0" applyFont="1" applyBorder="1" applyAlignment="1">
      <alignment horizontal="left" wrapText="1"/>
    </xf>
    <xf numFmtId="43" fontId="52" fillId="0" borderId="1" xfId="6" applyFont="1" applyBorder="1" applyAlignment="1">
      <alignment horizontal="left" wrapText="1"/>
    </xf>
    <xf numFmtId="43" fontId="57" fillId="0" borderId="1" xfId="6" applyFont="1" applyBorder="1" applyAlignment="1">
      <alignment horizontal="center" vertical="top" wrapText="1"/>
    </xf>
    <xf numFmtId="0" fontId="24" fillId="0" borderId="3" xfId="18" applyBorder="1"/>
    <xf numFmtId="0" fontId="24" fillId="0" borderId="4" xfId="18" applyBorder="1"/>
    <xf numFmtId="0" fontId="24" fillId="0" borderId="5" xfId="18" applyBorder="1"/>
    <xf numFmtId="0" fontId="58" fillId="0" borderId="0" xfId="24" applyFont="1" applyAlignment="1">
      <alignment horizontal="center" vertical="center"/>
    </xf>
    <xf numFmtId="0" fontId="4" fillId="0" borderId="0" xfId="24"/>
    <xf numFmtId="0" fontId="24" fillId="0" borderId="6" xfId="18" applyBorder="1"/>
    <xf numFmtId="0" fontId="15" fillId="0" borderId="0" xfId="18" applyFont="1" applyAlignment="1">
      <alignment horizontal="left" vertical="top" wrapText="1"/>
    </xf>
    <xf numFmtId="166" fontId="16" fillId="0" borderId="0" xfId="18" applyNumberFormat="1" applyFont="1" applyAlignment="1">
      <alignment horizontal="right" vertical="top" wrapText="1"/>
    </xf>
    <xf numFmtId="166" fontId="16" fillId="0" borderId="7" xfId="18" applyNumberFormat="1" applyFont="1" applyBorder="1" applyAlignment="1">
      <alignment horizontal="right" vertical="top" wrapText="1"/>
    </xf>
    <xf numFmtId="0" fontId="16" fillId="0" borderId="6" xfId="18" applyFont="1" applyBorder="1" applyAlignment="1">
      <alignment horizontal="left" vertical="top"/>
    </xf>
    <xf numFmtId="0" fontId="24" fillId="0" borderId="0" xfId="18"/>
    <xf numFmtId="0" fontId="21" fillId="0" borderId="6" xfId="18" applyFont="1" applyBorder="1" applyAlignment="1">
      <alignment horizontal="left" vertical="center" readingOrder="1"/>
    </xf>
    <xf numFmtId="0" fontId="10" fillId="0" borderId="0" xfId="18" applyFont="1" applyAlignment="1">
      <alignment horizontal="left" vertical="center" readingOrder="1"/>
    </xf>
    <xf numFmtId="0" fontId="24" fillId="0" borderId="0" xfId="18" applyAlignment="1">
      <alignment vertical="top"/>
    </xf>
    <xf numFmtId="0" fontId="24" fillId="0" borderId="3" xfId="18" applyBorder="1" applyAlignment="1">
      <alignment horizontal="left" vertical="top"/>
    </xf>
    <xf numFmtId="0" fontId="24" fillId="0" borderId="0" xfId="18" applyAlignment="1">
      <alignment horizontal="right" vertical="top"/>
    </xf>
    <xf numFmtId="0" fontId="24" fillId="0" borderId="7" xfId="18" applyBorder="1" applyAlignment="1">
      <alignment horizontal="right" vertical="top"/>
    </xf>
    <xf numFmtId="0" fontId="21" fillId="0" borderId="8" xfId="18" applyFont="1" applyBorder="1" applyAlignment="1">
      <alignment horizontal="left" vertical="center" readingOrder="1"/>
    </xf>
    <xf numFmtId="0" fontId="21" fillId="0" borderId="9" xfId="18" applyFont="1" applyBorder="1" applyAlignment="1">
      <alignment horizontal="left" vertical="center" readingOrder="1"/>
    </xf>
    <xf numFmtId="0" fontId="22" fillId="0" borderId="8" xfId="18" applyFont="1" applyBorder="1" applyAlignment="1">
      <alignment horizontal="left" vertical="center" readingOrder="1"/>
    </xf>
    <xf numFmtId="0" fontId="24" fillId="0" borderId="1" xfId="18" applyBorder="1" applyAlignment="1">
      <alignment horizontal="center" vertical="center"/>
    </xf>
    <xf numFmtId="0" fontId="24" fillId="0" borderId="0" xfId="18" applyAlignment="1">
      <alignment horizontal="center" vertical="center"/>
    </xf>
    <xf numFmtId="0" fontId="24" fillId="0" borderId="1" xfId="18" applyBorder="1" applyAlignment="1">
      <alignment horizontal="center" vertical="center" wrapText="1"/>
    </xf>
    <xf numFmtId="0" fontId="58" fillId="0" borderId="1" xfId="24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0" fillId="0" borderId="7" xfId="0" applyFont="1" applyBorder="1" applyAlignment="1">
      <alignment vertical="top" wrapText="1"/>
    </xf>
    <xf numFmtId="0" fontId="60" fillId="0" borderId="10" xfId="0" applyFont="1" applyBorder="1" applyAlignment="1">
      <alignment vertical="top" wrapText="1"/>
    </xf>
    <xf numFmtId="0" fontId="21" fillId="0" borderId="3" xfId="0" applyFont="1" applyBorder="1" applyAlignment="1">
      <alignment horizontal="left" vertical="center" readingOrder="1"/>
    </xf>
    <xf numFmtId="0" fontId="10" fillId="0" borderId="4" xfId="0" applyFont="1" applyBorder="1" applyAlignment="1">
      <alignment horizontal="left" vertical="center" readingOrder="1"/>
    </xf>
    <xf numFmtId="0" fontId="0" fillId="0" borderId="5" xfId="0" applyBorder="1" applyAlignment="1">
      <alignment vertical="top"/>
    </xf>
    <xf numFmtId="0" fontId="24" fillId="0" borderId="27" xfId="0" applyFont="1" applyBorder="1" applyAlignment="1">
      <alignment vertical="top"/>
    </xf>
    <xf numFmtId="0" fontId="21" fillId="0" borderId="10" xfId="0" applyFont="1" applyBorder="1" applyAlignment="1">
      <alignment horizontal="left" vertical="center" readingOrder="1"/>
    </xf>
    <xf numFmtId="0" fontId="22" fillId="0" borderId="2" xfId="0" applyFont="1" applyBorder="1" applyAlignment="1">
      <alignment horizontal="left" vertical="center" readingOrder="1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2" fontId="31" fillId="0" borderId="1" xfId="0" applyNumberFormat="1" applyFont="1" applyBorder="1" applyAlignment="1">
      <alignment horizontal="center" vertical="center"/>
    </xf>
    <xf numFmtId="0" fontId="31" fillId="0" borderId="6" xfId="0" applyFont="1" applyBorder="1" applyAlignment="1">
      <alignment vertical="top" wrapText="1"/>
    </xf>
    <xf numFmtId="0" fontId="31" fillId="0" borderId="0" xfId="0" applyFont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31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43" fontId="0" fillId="0" borderId="1" xfId="6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14" fontId="64" fillId="2" borderId="0" xfId="25" applyNumberFormat="1" applyFont="1" applyFill="1" applyAlignment="1">
      <alignment horizontal="center"/>
    </xf>
    <xf numFmtId="0" fontId="3" fillId="0" borderId="0" xfId="25"/>
    <xf numFmtId="0" fontId="63" fillId="14" borderId="32" xfId="25" applyFont="1" applyFill="1" applyBorder="1" applyAlignment="1">
      <alignment horizontal="center" vertical="center"/>
    </xf>
    <xf numFmtId="0" fontId="40" fillId="0" borderId="1" xfId="25" applyFont="1" applyBorder="1" applyAlignment="1">
      <alignment horizontal="center"/>
    </xf>
    <xf numFmtId="2" fontId="65" fillId="0" borderId="1" xfId="25" applyNumberFormat="1" applyFont="1" applyBorder="1" applyAlignment="1">
      <alignment horizontal="left"/>
    </xf>
    <xf numFmtId="0" fontId="65" fillId="4" borderId="1" xfId="25" applyFont="1" applyFill="1" applyBorder="1" applyAlignment="1">
      <alignment horizontal="center"/>
    </xf>
    <xf numFmtId="14" fontId="65" fillId="0" borderId="1" xfId="25" applyNumberFormat="1" applyFont="1" applyBorder="1" applyAlignment="1">
      <alignment horizontal="center"/>
    </xf>
    <xf numFmtId="2" fontId="65" fillId="0" borderId="1" xfId="25" applyNumberFormat="1" applyFont="1" applyBorder="1" applyAlignment="1">
      <alignment horizontal="center"/>
    </xf>
    <xf numFmtId="2" fontId="65" fillId="0" borderId="9" xfId="25" applyNumberFormat="1" applyFont="1" applyBorder="1" applyAlignment="1">
      <alignment horizontal="center"/>
    </xf>
    <xf numFmtId="0" fontId="3" fillId="0" borderId="0" xfId="25" applyAlignment="1">
      <alignment horizontal="center"/>
    </xf>
    <xf numFmtId="0" fontId="29" fillId="0" borderId="0" xfId="25" applyFont="1"/>
    <xf numFmtId="0" fontId="29" fillId="0" borderId="1" xfId="25" applyFont="1" applyBorder="1"/>
    <xf numFmtId="43" fontId="29" fillId="0" borderId="1" xfId="6" applyFont="1" applyBorder="1" applyAlignment="1">
      <alignment horizontal="center"/>
    </xf>
    <xf numFmtId="43" fontId="29" fillId="0" borderId="0" xfId="25" applyNumberFormat="1" applyFont="1"/>
    <xf numFmtId="43" fontId="31" fillId="0" borderId="1" xfId="0" applyNumberFormat="1" applyFont="1" applyBorder="1" applyAlignment="1">
      <alignment horizontal="center" vertical="center"/>
    </xf>
    <xf numFmtId="10" fontId="9" fillId="2" borderId="0" xfId="0" applyNumberFormat="1" applyFont="1" applyFill="1" applyAlignment="1">
      <alignment horizontal="left" vertical="top"/>
    </xf>
    <xf numFmtId="0" fontId="71" fillId="0" borderId="39" xfId="18" applyFont="1" applyBorder="1" applyAlignment="1">
      <alignment horizontal="center" vertical="top" wrapText="1"/>
    </xf>
    <xf numFmtId="0" fontId="68" fillId="15" borderId="34" xfId="18" applyFont="1" applyFill="1" applyBorder="1" applyAlignment="1">
      <alignment horizontal="left" vertical="top" wrapText="1"/>
    </xf>
    <xf numFmtId="0" fontId="24" fillId="15" borderId="34" xfId="18" applyFill="1" applyBorder="1" applyAlignment="1">
      <alignment horizontal="left" wrapText="1"/>
    </xf>
    <xf numFmtId="43" fontId="73" fillId="11" borderId="35" xfId="6" applyFont="1" applyFill="1" applyBorder="1" applyAlignment="1">
      <alignment horizontal="center" vertical="top"/>
    </xf>
    <xf numFmtId="175" fontId="76" fillId="15" borderId="34" xfId="18" applyNumberFormat="1" applyFont="1" applyFill="1" applyBorder="1" applyAlignment="1">
      <alignment horizontal="right" vertical="top" shrinkToFit="1"/>
    </xf>
    <xf numFmtId="0" fontId="72" fillId="0" borderId="35" xfId="18" applyFont="1" applyBorder="1" applyAlignment="1">
      <alignment horizontal="left" vertical="top"/>
    </xf>
    <xf numFmtId="0" fontId="72" fillId="0" borderId="35" xfId="18" applyFont="1" applyBorder="1" applyAlignment="1">
      <alignment horizontal="center" vertical="top"/>
    </xf>
    <xf numFmtId="2" fontId="72" fillId="0" borderId="35" xfId="6" applyNumberFormat="1" applyFont="1" applyFill="1" applyBorder="1" applyAlignment="1">
      <alignment horizontal="center" vertical="top"/>
    </xf>
    <xf numFmtId="43" fontId="72" fillId="0" borderId="35" xfId="6" applyFont="1" applyFill="1" applyBorder="1" applyAlignment="1">
      <alignment horizontal="center" vertical="top"/>
    </xf>
    <xf numFmtId="2" fontId="72" fillId="0" borderId="35" xfId="18" applyNumberFormat="1" applyFont="1" applyBorder="1" applyAlignment="1">
      <alignment horizontal="center" vertical="top"/>
    </xf>
    <xf numFmtId="0" fontId="68" fillId="15" borderId="35" xfId="18" applyFont="1" applyFill="1" applyBorder="1" applyAlignment="1">
      <alignment horizontal="left" vertical="top" wrapText="1"/>
    </xf>
    <xf numFmtId="0" fontId="24" fillId="15" borderId="35" xfId="18" applyFill="1" applyBorder="1" applyAlignment="1">
      <alignment horizontal="left" wrapText="1"/>
    </xf>
    <xf numFmtId="43" fontId="72" fillId="0" borderId="35" xfId="18" applyNumberFormat="1" applyFont="1" applyBorder="1" applyAlignment="1">
      <alignment horizontal="left" vertical="top"/>
    </xf>
    <xf numFmtId="43" fontId="72" fillId="0" borderId="35" xfId="6" applyFont="1" applyFill="1" applyBorder="1" applyAlignment="1">
      <alignment horizontal="left" vertical="top"/>
    </xf>
    <xf numFmtId="0" fontId="24" fillId="15" borderId="35" xfId="18" applyFill="1" applyBorder="1" applyAlignment="1">
      <alignment horizontal="center" wrapText="1"/>
    </xf>
    <xf numFmtId="175" fontId="76" fillId="15" borderId="35" xfId="18" applyNumberFormat="1" applyFont="1" applyFill="1" applyBorder="1" applyAlignment="1">
      <alignment horizontal="right" vertical="top" shrinkToFit="1"/>
    </xf>
    <xf numFmtId="0" fontId="71" fillId="0" borderId="35" xfId="18" applyFont="1" applyBorder="1" applyAlignment="1">
      <alignment horizontal="left" vertical="top" wrapText="1"/>
    </xf>
    <xf numFmtId="1" fontId="77" fillId="0" borderId="35" xfId="18" applyNumberFormat="1" applyFont="1" applyBorder="1" applyAlignment="1">
      <alignment horizontal="center" vertical="top" shrinkToFit="1"/>
    </xf>
    <xf numFmtId="2" fontId="77" fillId="0" borderId="35" xfId="18" applyNumberFormat="1" applyFont="1" applyBorder="1" applyAlignment="1">
      <alignment horizontal="center" vertical="top" shrinkToFit="1"/>
    </xf>
    <xf numFmtId="0" fontId="24" fillId="16" borderId="35" xfId="18" applyFill="1" applyBorder="1" applyAlignment="1">
      <alignment horizontal="left" vertical="top" wrapText="1"/>
    </xf>
    <xf numFmtId="0" fontId="24" fillId="16" borderId="35" xfId="18" applyFill="1" applyBorder="1" applyAlignment="1">
      <alignment horizontal="center" wrapText="1"/>
    </xf>
    <xf numFmtId="0" fontId="24" fillId="16" borderId="35" xfId="18" applyFill="1" applyBorder="1" applyAlignment="1">
      <alignment horizontal="left" wrapText="1"/>
    </xf>
    <xf numFmtId="0" fontId="68" fillId="16" borderId="35" xfId="18" applyFont="1" applyFill="1" applyBorder="1" applyAlignment="1">
      <alignment horizontal="center" vertical="top" wrapText="1"/>
    </xf>
    <xf numFmtId="2" fontId="76" fillId="16" borderId="35" xfId="18" applyNumberFormat="1" applyFont="1" applyFill="1" applyBorder="1" applyAlignment="1">
      <alignment horizontal="right" vertical="top" shrinkToFit="1"/>
    </xf>
    <xf numFmtId="0" fontId="71" fillId="0" borderId="38" xfId="18" applyFont="1" applyBorder="1" applyAlignment="1">
      <alignment horizontal="left" vertical="top" wrapText="1"/>
    </xf>
    <xf numFmtId="1" fontId="77" fillId="0" borderId="38" xfId="18" applyNumberFormat="1" applyFont="1" applyBorder="1" applyAlignment="1">
      <alignment horizontal="center" vertical="top" shrinkToFit="1"/>
    </xf>
    <xf numFmtId="2" fontId="77" fillId="0" borderId="38" xfId="18" applyNumberFormat="1" applyFont="1" applyBorder="1" applyAlignment="1">
      <alignment horizontal="center" vertical="top" shrinkToFit="1"/>
    </xf>
    <xf numFmtId="0" fontId="79" fillId="0" borderId="39" xfId="18" applyFont="1" applyBorder="1" applyAlignment="1">
      <alignment horizontal="left" vertical="top" wrapText="1" indent="1"/>
    </xf>
    <xf numFmtId="0" fontId="68" fillId="16" borderId="35" xfId="18" applyFont="1" applyFill="1" applyBorder="1" applyAlignment="1">
      <alignment horizontal="left" vertical="top" wrapText="1"/>
    </xf>
    <xf numFmtId="173" fontId="72" fillId="0" borderId="35" xfId="6" applyNumberFormat="1" applyFont="1" applyFill="1" applyBorder="1" applyAlignment="1">
      <alignment horizontal="left" vertical="top"/>
    </xf>
    <xf numFmtId="43" fontId="76" fillId="16" borderId="35" xfId="6" applyFont="1" applyFill="1" applyBorder="1" applyAlignment="1">
      <alignment horizontal="right" vertical="top" shrinkToFit="1"/>
    </xf>
    <xf numFmtId="176" fontId="72" fillId="0" borderId="35" xfId="18" applyNumberFormat="1" applyFont="1" applyBorder="1" applyAlignment="1">
      <alignment horizontal="center" vertical="top"/>
    </xf>
    <xf numFmtId="43" fontId="72" fillId="0" borderId="35" xfId="6" applyFont="1" applyBorder="1" applyAlignment="1">
      <alignment horizontal="left" vertical="top"/>
    </xf>
    <xf numFmtId="43" fontId="24" fillId="15" borderId="35" xfId="18" applyNumberFormat="1" applyFill="1" applyBorder="1" applyAlignment="1">
      <alignment horizontal="left" wrapText="1"/>
    </xf>
    <xf numFmtId="0" fontId="72" fillId="17" borderId="35" xfId="18" applyFont="1" applyFill="1" applyBorder="1" applyAlignment="1">
      <alignment horizontal="left" vertical="top"/>
    </xf>
    <xf numFmtId="0" fontId="72" fillId="17" borderId="35" xfId="18" applyFont="1" applyFill="1" applyBorder="1" applyAlignment="1">
      <alignment horizontal="center" vertical="top"/>
    </xf>
    <xf numFmtId="43" fontId="72" fillId="17" borderId="35" xfId="6" applyFont="1" applyFill="1" applyBorder="1" applyAlignment="1">
      <alignment horizontal="center" vertical="top"/>
    </xf>
    <xf numFmtId="2" fontId="72" fillId="17" borderId="35" xfId="18" applyNumberFormat="1" applyFont="1" applyFill="1" applyBorder="1" applyAlignment="1">
      <alignment horizontal="center" vertical="top"/>
    </xf>
    <xf numFmtId="43" fontId="72" fillId="17" borderId="35" xfId="18" applyNumberFormat="1" applyFont="1" applyFill="1" applyBorder="1" applyAlignment="1">
      <alignment horizontal="left" vertical="top"/>
    </xf>
    <xf numFmtId="43" fontId="72" fillId="17" borderId="35" xfId="6" applyFont="1" applyFill="1" applyBorder="1" applyAlignment="1">
      <alignment horizontal="left" vertical="top"/>
    </xf>
    <xf numFmtId="43" fontId="73" fillId="17" borderId="35" xfId="6" applyFont="1" applyFill="1" applyBorder="1" applyAlignment="1">
      <alignment horizontal="center" vertical="top"/>
    </xf>
    <xf numFmtId="0" fontId="80" fillId="17" borderId="35" xfId="18" applyFont="1" applyFill="1" applyBorder="1" applyAlignment="1">
      <alignment horizontal="left" vertical="top"/>
    </xf>
    <xf numFmtId="4" fontId="24" fillId="0" borderId="0" xfId="18" applyNumberFormat="1" applyAlignment="1">
      <alignment horizontal="center"/>
    </xf>
    <xf numFmtId="4" fontId="29" fillId="12" borderId="2" xfId="18" applyNumberFormat="1" applyFont="1" applyFill="1" applyBorder="1" applyAlignment="1">
      <alignment horizontal="center" vertical="center" wrapText="1"/>
    </xf>
    <xf numFmtId="4" fontId="29" fillId="12" borderId="2" xfId="18" applyNumberFormat="1" applyFont="1" applyFill="1" applyBorder="1" applyAlignment="1">
      <alignment horizontal="center" vertical="center"/>
    </xf>
    <xf numFmtId="0" fontId="51" fillId="0" borderId="1" xfId="18" applyFont="1" applyBorder="1" applyAlignment="1">
      <alignment horizontal="center" vertical="top"/>
    </xf>
    <xf numFmtId="0" fontId="24" fillId="0" borderId="0" xfId="18" applyAlignment="1">
      <alignment horizontal="center" vertical="top"/>
    </xf>
    <xf numFmtId="0" fontId="48" fillId="0" borderId="40" xfId="0" applyFont="1" applyBorder="1" applyAlignment="1">
      <alignment vertical="top" wrapText="1"/>
    </xf>
    <xf numFmtId="0" fontId="48" fillId="0" borderId="12" xfId="0" applyFont="1" applyBorder="1" applyAlignment="1">
      <alignment vertical="top" wrapText="1"/>
    </xf>
    <xf numFmtId="2" fontId="82" fillId="9" borderId="42" xfId="0" quotePrefix="1" applyNumberFormat="1" applyFont="1" applyFill="1" applyBorder="1" applyAlignment="1">
      <alignment horizontal="center" vertical="center" wrapText="1"/>
    </xf>
    <xf numFmtId="2" fontId="82" fillId="9" borderId="1" xfId="0" quotePrefix="1" applyNumberFormat="1" applyFont="1" applyFill="1" applyBorder="1" applyAlignment="1">
      <alignment horizontal="center" vertical="center" wrapText="1"/>
    </xf>
    <xf numFmtId="2" fontId="83" fillId="9" borderId="1" xfId="0" applyNumberFormat="1" applyFont="1" applyFill="1" applyBorder="1" applyAlignment="1">
      <alignment horizontal="center" vertical="center" wrapText="1"/>
    </xf>
    <xf numFmtId="0" fontId="83" fillId="9" borderId="1" xfId="0" quotePrefix="1" applyFont="1" applyFill="1" applyBorder="1" applyAlignment="1">
      <alignment horizontal="center" vertical="center" wrapText="1"/>
    </xf>
    <xf numFmtId="2" fontId="84" fillId="0" borderId="39" xfId="0" applyNumberFormat="1" applyFont="1" applyBorder="1" applyAlignment="1">
      <alignment horizontal="center" vertical="top" shrinkToFit="1"/>
    </xf>
    <xf numFmtId="0" fontId="85" fillId="0" borderId="39" xfId="0" applyFont="1" applyBorder="1" applyAlignment="1">
      <alignment horizontal="center" vertical="top" wrapText="1"/>
    </xf>
    <xf numFmtId="2" fontId="85" fillId="0" borderId="39" xfId="0" applyNumberFormat="1" applyFont="1" applyBorder="1" applyAlignment="1">
      <alignment horizontal="center" vertical="top" wrapText="1"/>
    </xf>
    <xf numFmtId="2" fontId="87" fillId="0" borderId="39" xfId="0" applyNumberFormat="1" applyFont="1" applyBorder="1" applyAlignment="1">
      <alignment horizontal="center" wrapText="1"/>
    </xf>
    <xf numFmtId="2" fontId="88" fillId="0" borderId="39" xfId="0" applyNumberFormat="1" applyFont="1" applyBorder="1" applyAlignment="1">
      <alignment horizontal="center" vertical="top" wrapText="1"/>
    </xf>
    <xf numFmtId="0" fontId="86" fillId="0" borderId="39" xfId="0" applyFont="1" applyBorder="1" applyAlignment="1">
      <alignment horizontal="center" vertical="top" wrapText="1"/>
    </xf>
    <xf numFmtId="0" fontId="87" fillId="0" borderId="39" xfId="0" applyFont="1" applyBorder="1" applyAlignment="1">
      <alignment horizontal="center" wrapText="1"/>
    </xf>
    <xf numFmtId="2" fontId="86" fillId="0" borderId="39" xfId="0" applyNumberFormat="1" applyFont="1" applyBorder="1" applyAlignment="1">
      <alignment horizontal="center" vertical="top" wrapText="1"/>
    </xf>
    <xf numFmtId="0" fontId="37" fillId="10" borderId="12" xfId="18" applyFont="1" applyFill="1" applyBorder="1" applyAlignment="1">
      <alignment horizontal="center" vertical="center"/>
    </xf>
    <xf numFmtId="4" fontId="29" fillId="12" borderId="0" xfId="18" applyNumberFormat="1" applyFont="1" applyFill="1" applyAlignment="1">
      <alignment horizontal="center" vertical="center" wrapText="1"/>
    </xf>
    <xf numFmtId="4" fontId="29" fillId="12" borderId="0" xfId="18" applyNumberFormat="1" applyFont="1" applyFill="1" applyAlignment="1">
      <alignment horizontal="center" vertical="center"/>
    </xf>
    <xf numFmtId="0" fontId="51" fillId="0" borderId="0" xfId="18" applyFont="1" applyAlignment="1">
      <alignment horizontal="center" vertical="top"/>
    </xf>
    <xf numFmtId="2" fontId="37" fillId="10" borderId="1" xfId="6" applyNumberFormat="1" applyFont="1" applyFill="1" applyBorder="1" applyAlignment="1">
      <alignment horizontal="center" vertical="center"/>
    </xf>
    <xf numFmtId="167" fontId="89" fillId="0" borderId="1" xfId="0" applyNumberFormat="1" applyFont="1" applyBorder="1" applyAlignment="1">
      <alignment horizontal="right" vertical="top" readingOrder="1"/>
    </xf>
    <xf numFmtId="166" fontId="15" fillId="0" borderId="1" xfId="0" applyNumberFormat="1" applyFont="1" applyBorder="1" applyAlignment="1">
      <alignment horizontal="left" vertical="top" indent="5" readingOrder="1"/>
    </xf>
    <xf numFmtId="0" fontId="88" fillId="0" borderId="39" xfId="0" applyFont="1" applyBorder="1" applyAlignment="1">
      <alignment horizontal="center" vertical="top" wrapText="1"/>
    </xf>
    <xf numFmtId="0" fontId="91" fillId="19" borderId="39" xfId="18" applyFont="1" applyFill="1" applyBorder="1" applyAlignment="1">
      <alignment horizontal="left" vertical="top" wrapText="1" indent="1"/>
    </xf>
    <xf numFmtId="0" fontId="24" fillId="19" borderId="39" xfId="18" applyFill="1" applyBorder="1" applyAlignment="1">
      <alignment horizontal="center" vertical="top" wrapText="1"/>
    </xf>
    <xf numFmtId="0" fontId="24" fillId="19" borderId="39" xfId="18" applyFill="1" applyBorder="1" applyAlignment="1">
      <alignment horizontal="left" vertical="top" wrapText="1"/>
    </xf>
    <xf numFmtId="0" fontId="24" fillId="19" borderId="39" xfId="18" applyFill="1" applyBorder="1" applyAlignment="1">
      <alignment horizontal="left" vertical="top" wrapText="1" indent="1"/>
    </xf>
    <xf numFmtId="0" fontId="92" fillId="20" borderId="39" xfId="0" applyFont="1" applyFill="1" applyBorder="1" applyAlignment="1">
      <alignment horizontal="center" vertical="top" wrapText="1"/>
    </xf>
    <xf numFmtId="0" fontId="91" fillId="20" borderId="39" xfId="0" applyFont="1" applyFill="1" applyBorder="1" applyAlignment="1">
      <alignment horizontal="center" vertical="top" wrapText="1"/>
    </xf>
    <xf numFmtId="0" fontId="0" fillId="20" borderId="39" xfId="0" applyFill="1" applyBorder="1" applyAlignment="1">
      <alignment horizontal="center" vertical="top" wrapText="1"/>
    </xf>
    <xf numFmtId="0" fontId="96" fillId="0" borderId="39" xfId="0" applyFont="1" applyBorder="1" applyAlignment="1">
      <alignment horizontal="left" vertical="top" wrapText="1"/>
    </xf>
    <xf numFmtId="4" fontId="97" fillId="0" borderId="39" xfId="0" applyNumberFormat="1" applyFont="1" applyBorder="1" applyAlignment="1">
      <alignment horizontal="center" vertical="top" shrinkToFit="1"/>
    </xf>
    <xf numFmtId="2" fontId="97" fillId="0" borderId="39" xfId="0" applyNumberFormat="1" applyFont="1" applyBorder="1" applyAlignment="1">
      <alignment horizontal="center" vertical="top" shrinkToFit="1"/>
    </xf>
    <xf numFmtId="0" fontId="98" fillId="20" borderId="39" xfId="0" applyFont="1" applyFill="1" applyBorder="1" applyAlignment="1">
      <alignment horizontal="right" vertical="top" wrapText="1"/>
    </xf>
    <xf numFmtId="4" fontId="99" fillId="20" borderId="39" xfId="0" applyNumberFormat="1" applyFont="1" applyFill="1" applyBorder="1" applyAlignment="1">
      <alignment horizontal="center" vertical="top" shrinkToFit="1"/>
    </xf>
    <xf numFmtId="2" fontId="99" fillId="20" borderId="39" xfId="0" applyNumberFormat="1" applyFont="1" applyFill="1" applyBorder="1" applyAlignment="1">
      <alignment horizontal="center" vertical="top" shrinkToFit="1"/>
    </xf>
    <xf numFmtId="2" fontId="87" fillId="0" borderId="26" xfId="0" applyNumberFormat="1" applyFont="1" applyBorder="1" applyAlignment="1">
      <alignment horizontal="center" wrapText="1"/>
    </xf>
    <xf numFmtId="2" fontId="87" fillId="0" borderId="25" xfId="0" applyNumberFormat="1" applyFont="1" applyBorder="1" applyAlignment="1">
      <alignment horizontal="center" wrapText="1"/>
    </xf>
    <xf numFmtId="2" fontId="87" fillId="0" borderId="38" xfId="0" applyNumberFormat="1" applyFont="1" applyBorder="1" applyAlignment="1">
      <alignment horizontal="center" wrapText="1"/>
    </xf>
    <xf numFmtId="173" fontId="26" fillId="0" borderId="0" xfId="14" applyNumberFormat="1" applyAlignment="1">
      <alignment horizontal="left" vertical="top"/>
    </xf>
    <xf numFmtId="43" fontId="26" fillId="0" borderId="0" xfId="14" applyNumberFormat="1" applyAlignment="1">
      <alignment horizontal="left" vertical="top"/>
    </xf>
    <xf numFmtId="0" fontId="24" fillId="0" borderId="1" xfId="18" applyBorder="1" applyAlignment="1">
      <alignment horizontal="left" vertical="top" wrapText="1"/>
    </xf>
    <xf numFmtId="43" fontId="24" fillId="0" borderId="1" xfId="6" applyBorder="1" applyAlignment="1">
      <alignment horizontal="center" vertical="center"/>
    </xf>
    <xf numFmtId="0" fontId="93" fillId="0" borderId="39" xfId="0" applyFont="1" applyBorder="1" applyAlignment="1">
      <alignment horizontal="left" vertical="top" wrapText="1"/>
    </xf>
    <xf numFmtId="2" fontId="94" fillId="0" borderId="39" xfId="0" applyNumberFormat="1" applyFont="1" applyBorder="1" applyAlignment="1">
      <alignment horizontal="left" vertical="top" shrinkToFit="1"/>
    </xf>
    <xf numFmtId="4" fontId="94" fillId="0" borderId="39" xfId="0" applyNumberFormat="1" applyFont="1" applyBorder="1" applyAlignment="1">
      <alignment horizontal="left" vertical="top" shrinkToFit="1"/>
    </xf>
    <xf numFmtId="4" fontId="95" fillId="0" borderId="39" xfId="0" applyNumberFormat="1" applyFont="1" applyBorder="1" applyAlignment="1">
      <alignment horizontal="left" vertical="top" shrinkToFit="1"/>
    </xf>
    <xf numFmtId="2" fontId="95" fillId="0" borderId="39" xfId="0" applyNumberFormat="1" applyFont="1" applyBorder="1" applyAlignment="1">
      <alignment horizontal="left" vertical="top" shrinkToFit="1"/>
    </xf>
    <xf numFmtId="0" fontId="30" fillId="0" borderId="39" xfId="0" applyFont="1" applyBorder="1" applyAlignment="1">
      <alignment horizontal="center" vertical="top" wrapText="1"/>
    </xf>
    <xf numFmtId="2" fontId="100" fillId="0" borderId="39" xfId="0" applyNumberFormat="1" applyFont="1" applyBorder="1" applyAlignment="1">
      <alignment horizontal="center" vertical="top" shrinkToFit="1"/>
    </xf>
    <xf numFmtId="4" fontId="100" fillId="0" borderId="39" xfId="0" applyNumberFormat="1" applyFont="1" applyBorder="1" applyAlignment="1">
      <alignment horizontal="center" vertical="top" shrinkToFit="1"/>
    </xf>
    <xf numFmtId="0" fontId="51" fillId="0" borderId="0" xfId="18" applyFont="1" applyAlignment="1">
      <alignment horizontal="center" vertical="center"/>
    </xf>
    <xf numFmtId="0" fontId="24" fillId="0" borderId="0" xfId="18" applyAlignment="1">
      <alignment horizontal="center" vertical="center" wrapText="1"/>
    </xf>
    <xf numFmtId="2" fontId="59" fillId="0" borderId="0" xfId="24" applyNumberFormat="1" applyFont="1" applyAlignment="1">
      <alignment horizontal="center" vertical="center"/>
    </xf>
    <xf numFmtId="2" fontId="58" fillId="0" borderId="0" xfId="24" applyNumberFormat="1" applyFont="1" applyAlignment="1">
      <alignment horizontal="center" vertical="center"/>
    </xf>
    <xf numFmtId="0" fontId="58" fillId="0" borderId="0" xfId="24" applyFont="1" applyAlignment="1">
      <alignment vertical="center"/>
    </xf>
    <xf numFmtId="0" fontId="51" fillId="0" borderId="0" xfId="18" applyFont="1" applyAlignment="1">
      <alignment vertical="center"/>
    </xf>
    <xf numFmtId="0" fontId="59" fillId="21" borderId="1" xfId="24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24" fillId="0" borderId="38" xfId="18" applyBorder="1" applyAlignment="1">
      <alignment horizontal="left" vertical="top" wrapText="1"/>
    </xf>
    <xf numFmtId="0" fontId="24" fillId="0" borderId="35" xfId="18" applyBorder="1" applyAlignment="1">
      <alignment horizontal="left" vertical="top" wrapText="1"/>
    </xf>
    <xf numFmtId="0" fontId="37" fillId="10" borderId="1" xfId="18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top"/>
    </xf>
    <xf numFmtId="0" fontId="48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3" fillId="14" borderId="29" xfId="25" applyFont="1" applyFill="1" applyBorder="1" applyAlignment="1">
      <alignment horizontal="center" vertical="center"/>
    </xf>
    <xf numFmtId="0" fontId="16" fillId="0" borderId="0" xfId="18" applyFont="1" applyAlignment="1">
      <alignment horizontal="left" vertical="top" wrapText="1"/>
    </xf>
    <xf numFmtId="0" fontId="24" fillId="0" borderId="3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166" fontId="22" fillId="0" borderId="1" xfId="0" applyNumberFormat="1" applyFont="1" applyBorder="1" applyAlignment="1">
      <alignment horizontal="left" vertical="top" indent="2" readingOrder="1"/>
    </xf>
    <xf numFmtId="166" fontId="22" fillId="5" borderId="1" xfId="0" applyNumberFormat="1" applyFont="1" applyFill="1" applyBorder="1" applyAlignment="1">
      <alignment horizontal="left" vertical="top" indent="2" readingOrder="1"/>
    </xf>
    <xf numFmtId="167" fontId="22" fillId="5" borderId="1" xfId="0" applyNumberFormat="1" applyFont="1" applyFill="1" applyBorder="1" applyAlignment="1">
      <alignment horizontal="right" vertical="top" readingOrder="1"/>
    </xf>
    <xf numFmtId="166" fontId="22" fillId="6" borderId="1" xfId="0" applyNumberFormat="1" applyFont="1" applyFill="1" applyBorder="1" applyAlignment="1">
      <alignment horizontal="left" vertical="top" indent="2" readingOrder="1"/>
    </xf>
    <xf numFmtId="167" fontId="22" fillId="6" borderId="1" xfId="0" applyNumberFormat="1" applyFont="1" applyFill="1" applyBorder="1" applyAlignment="1">
      <alignment horizontal="right" vertical="top" readingOrder="1"/>
    </xf>
    <xf numFmtId="166" fontId="22" fillId="0" borderId="1" xfId="0" applyNumberFormat="1" applyFont="1" applyBorder="1" applyAlignment="1">
      <alignment horizontal="right" vertical="top" readingOrder="1"/>
    </xf>
    <xf numFmtId="166" fontId="22" fillId="7" borderId="1" xfId="0" applyNumberFormat="1" applyFont="1" applyFill="1" applyBorder="1" applyAlignment="1">
      <alignment horizontal="left" vertical="top" indent="2" readingOrder="1"/>
    </xf>
    <xf numFmtId="167" fontId="22" fillId="7" borderId="1" xfId="0" applyNumberFormat="1" applyFont="1" applyFill="1" applyBorder="1" applyAlignment="1">
      <alignment horizontal="right" vertical="top" readingOrder="1"/>
    </xf>
    <xf numFmtId="43" fontId="22" fillId="0" borderId="1" xfId="6" applyFont="1" applyBorder="1" applyAlignment="1">
      <alignment horizontal="right" vertical="top" readingOrder="1"/>
    </xf>
    <xf numFmtId="166" fontId="22" fillId="7" borderId="1" xfId="0" applyNumberFormat="1" applyFont="1" applyFill="1" applyBorder="1" applyAlignment="1">
      <alignment horizontal="right" vertical="top" readingOrder="1"/>
    </xf>
    <xf numFmtId="0" fontId="20" fillId="3" borderId="13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3" fillId="0" borderId="13" xfId="0" applyFont="1" applyBorder="1" applyAlignment="1">
      <alignment horizontal="center" vertical="top" readingOrder="1"/>
    </xf>
    <xf numFmtId="0" fontId="23" fillId="0" borderId="11" xfId="0" applyFont="1" applyBorder="1" applyAlignment="1">
      <alignment horizontal="center" vertical="top" readingOrder="1"/>
    </xf>
    <xf numFmtId="0" fontId="23" fillId="0" borderId="12" xfId="0" applyFont="1" applyBorder="1" applyAlignment="1">
      <alignment horizontal="center" vertical="top" readingOrder="1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2" borderId="1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left" vertical="top" wrapText="1"/>
    </xf>
    <xf numFmtId="0" fontId="16" fillId="3" borderId="11" xfId="0" applyFont="1" applyFill="1" applyBorder="1" applyAlignment="1">
      <alignment horizontal="left" vertical="top" wrapText="1"/>
    </xf>
    <xf numFmtId="0" fontId="25" fillId="0" borderId="13" xfId="0" applyFont="1" applyBorder="1" applyAlignment="1">
      <alignment horizontal="center" vertical="top" readingOrder="1"/>
    </xf>
    <xf numFmtId="0" fontId="25" fillId="0" borderId="11" xfId="0" applyFont="1" applyBorder="1" applyAlignment="1">
      <alignment horizontal="center" vertical="top" readingOrder="1"/>
    </xf>
    <xf numFmtId="0" fontId="16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readingOrder="1"/>
    </xf>
    <xf numFmtId="0" fontId="3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31" fillId="0" borderId="0" xfId="0" applyFont="1" applyAlignment="1">
      <alignment horizontal="left" vertical="top"/>
    </xf>
    <xf numFmtId="0" fontId="32" fillId="0" borderId="1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top"/>
    </xf>
    <xf numFmtId="0" fontId="32" fillId="0" borderId="11" xfId="0" applyFont="1" applyBorder="1" applyAlignment="1">
      <alignment horizontal="center" vertical="top"/>
    </xf>
    <xf numFmtId="0" fontId="32" fillId="0" borderId="12" xfId="0" applyFont="1" applyBorder="1" applyAlignment="1">
      <alignment horizontal="center" vertical="top"/>
    </xf>
    <xf numFmtId="0" fontId="31" fillId="0" borderId="13" xfId="0" applyFont="1" applyBorder="1" applyAlignment="1">
      <alignment horizontal="center" vertical="top"/>
    </xf>
    <xf numFmtId="0" fontId="31" fillId="0" borderId="11" xfId="0" applyFont="1" applyBorder="1" applyAlignment="1">
      <alignment horizontal="center" vertical="top"/>
    </xf>
    <xf numFmtId="0" fontId="31" fillId="0" borderId="12" xfId="0" applyFont="1" applyBorder="1" applyAlignment="1">
      <alignment horizontal="center" vertical="top"/>
    </xf>
    <xf numFmtId="0" fontId="16" fillId="0" borderId="7" xfId="0" applyFont="1" applyBorder="1" applyAlignment="1">
      <alignment horizontal="left" vertical="top" wrapText="1"/>
    </xf>
    <xf numFmtId="0" fontId="60" fillId="0" borderId="6" xfId="0" applyFont="1" applyBorder="1" applyAlignment="1">
      <alignment horizontal="left" vertical="top" wrapText="1"/>
    </xf>
    <xf numFmtId="0" fontId="60" fillId="0" borderId="0" xfId="0" applyFont="1" applyAlignment="1">
      <alignment horizontal="left" vertical="top" wrapText="1"/>
    </xf>
    <xf numFmtId="0" fontId="60" fillId="0" borderId="8" xfId="0" applyFont="1" applyBorder="1" applyAlignment="1">
      <alignment horizontal="left" vertical="top" wrapText="1"/>
    </xf>
    <xf numFmtId="0" fontId="60" fillId="0" borderId="9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center" vertical="top" readingOrder="1"/>
    </xf>
    <xf numFmtId="0" fontId="61" fillId="0" borderId="1" xfId="0" applyFont="1" applyBorder="1" applyAlignment="1">
      <alignment horizontal="center" vertical="center"/>
    </xf>
    <xf numFmtId="0" fontId="61" fillId="0" borderId="13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6" fillId="3" borderId="12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center" vertical="top" wrapText="1"/>
    </xf>
    <xf numFmtId="164" fontId="16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24" fillId="0" borderId="35" xfId="18" applyBorder="1" applyAlignment="1">
      <alignment horizontal="left" vertical="top" wrapText="1"/>
    </xf>
    <xf numFmtId="0" fontId="24" fillId="0" borderId="38" xfId="18" applyBorder="1" applyAlignment="1">
      <alignment horizontal="left" vertical="top" wrapText="1"/>
    </xf>
    <xf numFmtId="0" fontId="24" fillId="0" borderId="26" xfId="18" applyBorder="1" applyAlignment="1">
      <alignment horizontal="left" vertical="top" wrapText="1"/>
    </xf>
    <xf numFmtId="0" fontId="24" fillId="0" borderId="24" xfId="18" applyBorder="1" applyAlignment="1">
      <alignment horizontal="left" vertical="top" wrapText="1"/>
    </xf>
    <xf numFmtId="0" fontId="24" fillId="0" borderId="25" xfId="18" applyBorder="1" applyAlignment="1">
      <alignment horizontal="left" vertical="top" wrapText="1"/>
    </xf>
    <xf numFmtId="0" fontId="70" fillId="0" borderId="22" xfId="18" applyFont="1" applyBorder="1" applyAlignment="1">
      <alignment horizontal="center" vertical="top" wrapText="1"/>
    </xf>
    <xf numFmtId="0" fontId="70" fillId="0" borderId="23" xfId="18" applyFont="1" applyBorder="1" applyAlignment="1">
      <alignment horizontal="center" vertical="top" wrapText="1"/>
    </xf>
    <xf numFmtId="0" fontId="70" fillId="0" borderId="36" xfId="18" applyFont="1" applyBorder="1" applyAlignment="1">
      <alignment horizontal="center" vertical="top" wrapText="1"/>
    </xf>
    <xf numFmtId="0" fontId="70" fillId="0" borderId="37" xfId="18" applyFont="1" applyBorder="1" applyAlignment="1">
      <alignment horizontal="center" vertical="top" wrapText="1"/>
    </xf>
    <xf numFmtId="0" fontId="68" fillId="0" borderId="34" xfId="18" applyFont="1" applyBorder="1" applyAlignment="1">
      <alignment horizontal="left" vertical="top" wrapText="1"/>
    </xf>
    <xf numFmtId="0" fontId="68" fillId="0" borderId="35" xfId="18" applyFont="1" applyBorder="1" applyAlignment="1">
      <alignment horizontal="left" vertical="top" wrapText="1"/>
    </xf>
    <xf numFmtId="0" fontId="68" fillId="0" borderId="38" xfId="18" applyFont="1" applyBorder="1" applyAlignment="1">
      <alignment horizontal="left" vertical="top" wrapText="1"/>
    </xf>
    <xf numFmtId="0" fontId="67" fillId="0" borderId="26" xfId="18" applyFont="1" applyBorder="1" applyAlignment="1">
      <alignment horizontal="center" vertical="top" wrapText="1"/>
    </xf>
    <xf numFmtId="0" fontId="67" fillId="0" borderId="24" xfId="18" applyFont="1" applyBorder="1" applyAlignment="1">
      <alignment horizontal="center" vertical="top" wrapText="1"/>
    </xf>
    <xf numFmtId="0" fontId="67" fillId="0" borderId="25" xfId="18" applyFont="1" applyBorder="1" applyAlignment="1">
      <alignment horizontal="center" vertical="top" wrapText="1"/>
    </xf>
    <xf numFmtId="0" fontId="68" fillId="0" borderId="34" xfId="18" applyFont="1" applyBorder="1" applyAlignment="1">
      <alignment horizontal="center" vertical="top" wrapText="1"/>
    </xf>
    <xf numFmtId="0" fontId="68" fillId="0" borderId="35" xfId="18" applyFont="1" applyBorder="1" applyAlignment="1">
      <alignment horizontal="center" vertical="top" wrapText="1"/>
    </xf>
    <xf numFmtId="0" fontId="68" fillId="0" borderId="38" xfId="18" applyFont="1" applyBorder="1" applyAlignment="1">
      <alignment horizontal="center" vertical="top" wrapText="1"/>
    </xf>
    <xf numFmtId="0" fontId="68" fillId="0" borderId="26" xfId="18" applyFont="1" applyBorder="1" applyAlignment="1">
      <alignment horizontal="center" vertical="top" wrapText="1"/>
    </xf>
    <xf numFmtId="0" fontId="68" fillId="0" borderId="24" xfId="18" applyFont="1" applyBorder="1" applyAlignment="1">
      <alignment horizontal="center" vertical="top" wrapText="1"/>
    </xf>
    <xf numFmtId="0" fontId="68" fillId="0" borderId="25" xfId="18" applyFont="1" applyBorder="1" applyAlignment="1">
      <alignment horizontal="center" vertical="top" wrapText="1"/>
    </xf>
    <xf numFmtId="0" fontId="24" fillId="0" borderId="34" xfId="18" applyBorder="1" applyAlignment="1">
      <alignment horizontal="center" vertical="top" wrapText="1"/>
    </xf>
    <xf numFmtId="0" fontId="24" fillId="0" borderId="35" xfId="18" applyBorder="1" applyAlignment="1">
      <alignment horizontal="center" vertical="top" wrapText="1"/>
    </xf>
    <xf numFmtId="0" fontId="24" fillId="0" borderId="38" xfId="18" applyBorder="1" applyAlignment="1">
      <alignment horizontal="center" vertical="top" wrapText="1"/>
    </xf>
    <xf numFmtId="0" fontId="68" fillId="0" borderId="34" xfId="18" applyFont="1" applyBorder="1" applyAlignment="1">
      <alignment horizontal="left" vertical="top" wrapText="1" indent="2"/>
    </xf>
    <xf numFmtId="0" fontId="68" fillId="0" borderId="35" xfId="18" applyFont="1" applyBorder="1" applyAlignment="1">
      <alignment horizontal="left" vertical="top" wrapText="1" indent="2"/>
    </xf>
    <xf numFmtId="0" fontId="68" fillId="0" borderId="38" xfId="18" applyFont="1" applyBorder="1" applyAlignment="1">
      <alignment horizontal="left" vertical="top" wrapText="1" indent="2"/>
    </xf>
    <xf numFmtId="0" fontId="68" fillId="0" borderId="34" xfId="18" applyFont="1" applyBorder="1" applyAlignment="1">
      <alignment horizontal="left" vertical="top" wrapText="1" indent="1"/>
    </xf>
    <xf numFmtId="0" fontId="68" fillId="0" borderId="35" xfId="18" applyFont="1" applyBorder="1" applyAlignment="1">
      <alignment horizontal="left" vertical="top" wrapText="1" indent="1"/>
    </xf>
    <xf numFmtId="0" fontId="68" fillId="0" borderId="38" xfId="18" applyFont="1" applyBorder="1" applyAlignment="1">
      <alignment horizontal="left" vertical="top" wrapText="1" indent="1"/>
    </xf>
    <xf numFmtId="0" fontId="24" fillId="0" borderId="34" xfId="18" applyBorder="1" applyAlignment="1">
      <alignment horizontal="left" vertical="top" wrapText="1"/>
    </xf>
    <xf numFmtId="0" fontId="68" fillId="0" borderId="26" xfId="18" applyFont="1" applyBorder="1" applyAlignment="1">
      <alignment horizontal="left" vertical="top" wrapText="1" indent="2"/>
    </xf>
    <xf numFmtId="0" fontId="68" fillId="0" borderId="25" xfId="18" applyFont="1" applyBorder="1" applyAlignment="1">
      <alignment horizontal="left" vertical="top" wrapText="1" indent="2"/>
    </xf>
    <xf numFmtId="0" fontId="36" fillId="10" borderId="1" xfId="18" applyFont="1" applyFill="1" applyBorder="1" applyAlignment="1">
      <alignment horizontal="center"/>
    </xf>
    <xf numFmtId="0" fontId="29" fillId="10" borderId="13" xfId="18" applyFont="1" applyFill="1" applyBorder="1" applyAlignment="1">
      <alignment horizontal="center" vertical="center"/>
    </xf>
    <xf numFmtId="0" fontId="29" fillId="10" borderId="11" xfId="18" applyFont="1" applyFill="1" applyBorder="1" applyAlignment="1">
      <alignment horizontal="center" vertical="center"/>
    </xf>
    <xf numFmtId="0" fontId="29" fillId="10" borderId="12" xfId="18" applyFont="1" applyFill="1" applyBorder="1" applyAlignment="1">
      <alignment horizontal="center" vertical="center"/>
    </xf>
    <xf numFmtId="0" fontId="37" fillId="10" borderId="1" xfId="18" applyFont="1" applyFill="1" applyBorder="1" applyAlignment="1">
      <alignment horizontal="center" vertical="center"/>
    </xf>
    <xf numFmtId="4" fontId="29" fillId="11" borderId="1" xfId="18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42" fillId="0" borderId="1" xfId="0" applyFont="1" applyBorder="1" applyAlignment="1">
      <alignment horizontal="left" vertical="center" wrapText="1" indent="5"/>
    </xf>
    <xf numFmtId="0" fontId="0" fillId="0" borderId="1" xfId="0" applyBorder="1" applyAlignment="1">
      <alignment horizontal="left" vertical="center" wrapText="1" indent="5"/>
    </xf>
    <xf numFmtId="0" fontId="43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4" fillId="0" borderId="1" xfId="0" applyFont="1" applyBorder="1" applyAlignment="1">
      <alignment horizontal="left" vertical="top"/>
    </xf>
    <xf numFmtId="0" fontId="51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right" vertical="top"/>
    </xf>
    <xf numFmtId="0" fontId="51" fillId="0" borderId="1" xfId="0" applyFont="1" applyBorder="1" applyAlignment="1">
      <alignment horizontal="center" vertical="top"/>
    </xf>
    <xf numFmtId="0" fontId="52" fillId="0" borderId="13" xfId="0" applyFont="1" applyBorder="1" applyAlignment="1">
      <alignment horizontal="right" vertical="top" wrapText="1"/>
    </xf>
    <xf numFmtId="0" fontId="52" fillId="0" borderId="11" xfId="0" applyFont="1" applyBorder="1" applyAlignment="1">
      <alignment horizontal="right" vertical="top" wrapText="1"/>
    </xf>
    <xf numFmtId="0" fontId="52" fillId="0" borderId="12" xfId="0" applyFont="1" applyBorder="1" applyAlignment="1">
      <alignment horizontal="right" vertical="top" wrapText="1"/>
    </xf>
    <xf numFmtId="0" fontId="52" fillId="0" borderId="1" xfId="0" applyFont="1" applyBorder="1" applyAlignment="1">
      <alignment horizontal="left" vertical="top" wrapText="1" indent="4"/>
    </xf>
    <xf numFmtId="2" fontId="13" fillId="0" borderId="1" xfId="0" applyNumberFormat="1" applyFont="1" applyBorder="1" applyAlignment="1">
      <alignment horizontal="center" vertical="center"/>
    </xf>
    <xf numFmtId="0" fontId="29" fillId="0" borderId="1" xfId="25" applyFont="1" applyBorder="1" applyAlignment="1">
      <alignment horizontal="center"/>
    </xf>
    <xf numFmtId="0" fontId="63" fillId="14" borderId="28" xfId="25" applyFont="1" applyFill="1" applyBorder="1" applyAlignment="1">
      <alignment horizontal="center" vertical="center"/>
    </xf>
    <xf numFmtId="0" fontId="63" fillId="14" borderId="33" xfId="25" applyFont="1" applyFill="1" applyBorder="1" applyAlignment="1">
      <alignment horizontal="center" vertical="center"/>
    </xf>
    <xf numFmtId="0" fontId="63" fillId="14" borderId="29" xfId="25" applyFont="1" applyFill="1" applyBorder="1" applyAlignment="1">
      <alignment horizontal="center" vertical="center"/>
    </xf>
    <xf numFmtId="0" fontId="63" fillId="14" borderId="30" xfId="25" applyFont="1" applyFill="1" applyBorder="1" applyAlignment="1">
      <alignment horizontal="center" vertical="center"/>
    </xf>
    <xf numFmtId="0" fontId="63" fillId="14" borderId="31" xfId="25" applyFont="1" applyFill="1" applyBorder="1" applyAlignment="1">
      <alignment horizontal="center" vertical="center"/>
    </xf>
    <xf numFmtId="0" fontId="16" fillId="0" borderId="6" xfId="18" applyFont="1" applyBorder="1" applyAlignment="1">
      <alignment horizontal="left" vertical="top" wrapText="1"/>
    </xf>
    <xf numFmtId="0" fontId="16" fillId="0" borderId="0" xfId="18" applyFont="1" applyAlignment="1">
      <alignment horizontal="left" vertical="top" wrapText="1"/>
    </xf>
    <xf numFmtId="0" fontId="16" fillId="0" borderId="7" xfId="18" applyFont="1" applyBorder="1" applyAlignment="1">
      <alignment horizontal="left" vertical="top" wrapText="1"/>
    </xf>
    <xf numFmtId="0" fontId="25" fillId="0" borderId="13" xfId="18" applyFont="1" applyBorder="1" applyAlignment="1">
      <alignment horizontal="center" vertical="top" readingOrder="1"/>
    </xf>
    <xf numFmtId="0" fontId="25" fillId="0" borderId="11" xfId="18" applyFont="1" applyBorder="1" applyAlignment="1">
      <alignment horizontal="center" vertical="top" readingOrder="1"/>
    </xf>
    <xf numFmtId="0" fontId="25" fillId="0" borderId="12" xfId="18" applyFont="1" applyBorder="1" applyAlignment="1">
      <alignment horizontal="center" vertical="top" readingOrder="1"/>
    </xf>
    <xf numFmtId="0" fontId="22" fillId="0" borderId="9" xfId="18" applyFont="1" applyBorder="1" applyAlignment="1">
      <alignment horizontal="left" vertical="center" readingOrder="1"/>
    </xf>
    <xf numFmtId="0" fontId="22" fillId="0" borderId="10" xfId="18" applyFont="1" applyBorder="1" applyAlignment="1">
      <alignment horizontal="left" vertical="center" readingOrder="1"/>
    </xf>
    <xf numFmtId="0" fontId="59" fillId="3" borderId="0" xfId="24" applyFont="1" applyFill="1" applyAlignment="1">
      <alignment horizontal="left" vertical="center"/>
    </xf>
    <xf numFmtId="0" fontId="82" fillId="9" borderId="13" xfId="0" applyFont="1" applyFill="1" applyBorder="1" applyAlignment="1">
      <alignment horizontal="center" vertical="center" wrapText="1"/>
    </xf>
    <xf numFmtId="0" fontId="83" fillId="9" borderId="11" xfId="0" applyFont="1" applyFill="1" applyBorder="1" applyAlignment="1">
      <alignment horizontal="center" vertical="center" wrapText="1"/>
    </xf>
    <xf numFmtId="0" fontId="83" fillId="9" borderId="12" xfId="0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81" fillId="0" borderId="1" xfId="0" applyFont="1" applyBorder="1" applyAlignment="1">
      <alignment horizontal="center" vertical="center" wrapText="1"/>
    </xf>
    <xf numFmtId="0" fontId="81" fillId="0" borderId="13" xfId="0" applyFont="1" applyBorder="1" applyAlignment="1">
      <alignment horizontal="center" vertical="center" wrapText="1"/>
    </xf>
    <xf numFmtId="0" fontId="81" fillId="0" borderId="11" xfId="0" applyFont="1" applyBorder="1" applyAlignment="1">
      <alignment horizontal="center" vertical="center" wrapText="1"/>
    </xf>
    <xf numFmtId="0" fontId="81" fillId="0" borderId="1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2" fillId="9" borderId="1" xfId="0" applyFont="1" applyFill="1" applyBorder="1" applyAlignment="1">
      <alignment horizontal="center" vertical="center" wrapText="1"/>
    </xf>
    <xf numFmtId="0" fontId="83" fillId="9" borderId="1" xfId="0" applyFont="1" applyFill="1" applyBorder="1" applyAlignment="1">
      <alignment horizontal="center" vertical="center" wrapText="1"/>
    </xf>
    <xf numFmtId="0" fontId="90" fillId="19" borderId="26" xfId="0" applyFont="1" applyFill="1" applyBorder="1" applyAlignment="1">
      <alignment horizontal="center" vertical="top" wrapText="1"/>
    </xf>
    <xf numFmtId="0" fontId="90" fillId="19" borderId="24" xfId="0" applyFont="1" applyFill="1" applyBorder="1" applyAlignment="1">
      <alignment horizontal="center" vertical="top" wrapText="1"/>
    </xf>
    <xf numFmtId="0" fontId="90" fillId="19" borderId="25" xfId="0" applyFont="1" applyFill="1" applyBorder="1" applyAlignment="1">
      <alignment horizontal="center" vertical="top" wrapText="1"/>
    </xf>
    <xf numFmtId="0" fontId="90" fillId="18" borderId="26" xfId="18" applyFont="1" applyFill="1" applyBorder="1" applyAlignment="1">
      <alignment horizontal="center" vertical="top" wrapText="1"/>
    </xf>
    <xf numFmtId="0" fontId="90" fillId="18" borderId="24" xfId="18" applyFont="1" applyFill="1" applyBorder="1" applyAlignment="1">
      <alignment horizontal="center" vertical="top" wrapText="1"/>
    </xf>
    <xf numFmtId="0" fontId="92" fillId="20" borderId="26" xfId="18" applyFont="1" applyFill="1" applyBorder="1" applyAlignment="1">
      <alignment horizontal="center" vertical="top" wrapText="1"/>
    </xf>
    <xf numFmtId="0" fontId="92" fillId="20" borderId="24" xfId="18" applyFont="1" applyFill="1" applyBorder="1" applyAlignment="1">
      <alignment horizontal="center" vertical="top" wrapText="1"/>
    </xf>
    <xf numFmtId="0" fontId="92" fillId="20" borderId="26" xfId="0" applyFont="1" applyFill="1" applyBorder="1" applyAlignment="1">
      <alignment horizontal="center" vertical="top" wrapText="1"/>
    </xf>
    <xf numFmtId="0" fontId="92" fillId="20" borderId="24" xfId="0" applyFont="1" applyFill="1" applyBorder="1" applyAlignment="1">
      <alignment horizontal="center" vertical="top" wrapText="1"/>
    </xf>
    <xf numFmtId="0" fontId="33" fillId="8" borderId="1" xfId="14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readingOrder="1"/>
    </xf>
    <xf numFmtId="0" fontId="25" fillId="0" borderId="43" xfId="18" applyFont="1" applyBorder="1" applyAlignment="1">
      <alignment horizontal="center" vertical="top" readingOrder="1"/>
    </xf>
    <xf numFmtId="0" fontId="25" fillId="0" borderId="44" xfId="18" applyFont="1" applyBorder="1" applyAlignment="1">
      <alignment horizontal="center" vertical="top" readingOrder="1"/>
    </xf>
    <xf numFmtId="0" fontId="25" fillId="0" borderId="45" xfId="18" applyFont="1" applyBorder="1" applyAlignment="1">
      <alignment horizontal="center" vertical="top" readingOrder="1"/>
    </xf>
    <xf numFmtId="0" fontId="25" fillId="0" borderId="46" xfId="18" applyFont="1" applyBorder="1" applyAlignment="1">
      <alignment horizontal="center" vertical="top" readingOrder="1"/>
    </xf>
    <xf numFmtId="0" fontId="25" fillId="0" borderId="0" xfId="18" applyFont="1" applyAlignment="1">
      <alignment horizontal="center" vertical="top" readingOrder="1"/>
    </xf>
    <xf numFmtId="44" fontId="0" fillId="0" borderId="0" xfId="32" applyFont="1"/>
    <xf numFmtId="10" fontId="24" fillId="0" borderId="0" xfId="18" applyNumberFormat="1"/>
    <xf numFmtId="0" fontId="15" fillId="0" borderId="47" xfId="33" applyFont="1" applyBorder="1" applyAlignment="1">
      <alignment horizontal="left" vertical="center" wrapText="1"/>
    </xf>
    <xf numFmtId="0" fontId="15" fillId="0" borderId="2" xfId="33" applyFont="1" applyBorder="1" applyAlignment="1">
      <alignment horizontal="left" vertical="center" wrapText="1"/>
    </xf>
    <xf numFmtId="177" fontId="16" fillId="0" borderId="1" xfId="33" applyNumberFormat="1" applyFont="1" applyBorder="1" applyAlignment="1">
      <alignment vertical="center"/>
    </xf>
    <xf numFmtId="177" fontId="16" fillId="0" borderId="0" xfId="33" applyNumberFormat="1" applyFont="1" applyAlignment="1">
      <alignment vertical="center"/>
    </xf>
    <xf numFmtId="177" fontId="16" fillId="0" borderId="0" xfId="33" applyNumberFormat="1" applyFont="1" applyAlignment="1">
      <alignment horizontal="center" vertical="center"/>
    </xf>
    <xf numFmtId="0" fontId="15" fillId="0" borderId="48" xfId="33" applyFont="1" applyBorder="1" applyAlignment="1">
      <alignment horizontal="left" vertical="center"/>
    </xf>
    <xf numFmtId="0" fontId="15" fillId="0" borderId="1" xfId="33" applyFont="1" applyBorder="1" applyAlignment="1">
      <alignment horizontal="left" vertical="center"/>
    </xf>
    <xf numFmtId="0" fontId="16" fillId="0" borderId="1" xfId="33" applyFont="1" applyBorder="1" applyAlignment="1">
      <alignment horizontal="left" vertical="center"/>
    </xf>
    <xf numFmtId="0" fontId="16" fillId="0" borderId="1" xfId="33" applyFont="1" applyBorder="1" applyAlignment="1">
      <alignment horizontal="left" vertical="center" wrapText="1"/>
    </xf>
    <xf numFmtId="0" fontId="16" fillId="0" borderId="0" xfId="33" applyFont="1" applyAlignment="1">
      <alignment horizontal="left" vertical="center"/>
    </xf>
    <xf numFmtId="10" fontId="15" fillId="0" borderId="0" xfId="33" applyNumberFormat="1" applyFont="1" applyAlignment="1">
      <alignment vertical="center"/>
    </xf>
    <xf numFmtId="0" fontId="15" fillId="0" borderId="0" xfId="33" applyFont="1" applyAlignment="1">
      <alignment vertical="center"/>
    </xf>
    <xf numFmtId="10" fontId="15" fillId="0" borderId="0" xfId="33" applyNumberFormat="1" applyFont="1" applyAlignment="1">
      <alignment horizontal="center" vertical="center"/>
    </xf>
    <xf numFmtId="0" fontId="15" fillId="0" borderId="49" xfId="33" applyFont="1" applyBorder="1" applyAlignment="1">
      <alignment horizontal="left" vertical="center"/>
    </xf>
    <xf numFmtId="0" fontId="15" fillId="0" borderId="27" xfId="33" applyFont="1" applyBorder="1" applyAlignment="1">
      <alignment horizontal="left" vertical="center"/>
    </xf>
    <xf numFmtId="17" fontId="15" fillId="0" borderId="0" xfId="33" applyNumberFormat="1" applyFont="1" applyAlignment="1">
      <alignment vertical="center"/>
    </xf>
    <xf numFmtId="17" fontId="15" fillId="0" borderId="0" xfId="33" applyNumberFormat="1" applyFont="1" applyAlignment="1">
      <alignment horizontal="center" vertical="center"/>
    </xf>
    <xf numFmtId="0" fontId="16" fillId="3" borderId="50" xfId="18" applyFont="1" applyFill="1" applyBorder="1" applyAlignment="1">
      <alignment horizontal="center" vertical="center" wrapText="1"/>
    </xf>
    <xf numFmtId="0" fontId="16" fillId="3" borderId="51" xfId="18" applyFont="1" applyFill="1" applyBorder="1" applyAlignment="1">
      <alignment horizontal="center" vertical="center" wrapText="1"/>
    </xf>
    <xf numFmtId="0" fontId="16" fillId="3" borderId="8" xfId="18" applyFont="1" applyFill="1" applyBorder="1" applyAlignment="1">
      <alignment horizontal="center" vertical="center" wrapText="1"/>
    </xf>
    <xf numFmtId="0" fontId="16" fillId="0" borderId="47" xfId="18" applyFont="1" applyBorder="1" applyAlignment="1">
      <alignment horizontal="center" vertical="center" wrapText="1"/>
    </xf>
    <xf numFmtId="0" fontId="16" fillId="0" borderId="51" xfId="18" applyFont="1" applyBorder="1" applyAlignment="1">
      <alignment horizontal="center" vertical="center" wrapText="1"/>
    </xf>
    <xf numFmtId="164" fontId="16" fillId="3" borderId="51" xfId="18" applyNumberFormat="1" applyFont="1" applyFill="1" applyBorder="1" applyAlignment="1">
      <alignment horizontal="center" vertical="center" wrapText="1"/>
    </xf>
    <xf numFmtId="164" fontId="16" fillId="3" borderId="52" xfId="18" applyNumberFormat="1" applyFont="1" applyFill="1" applyBorder="1" applyAlignment="1">
      <alignment horizontal="center" vertical="center" wrapText="1"/>
    </xf>
    <xf numFmtId="164" fontId="16" fillId="3" borderId="0" xfId="18" applyNumberFormat="1" applyFont="1" applyFill="1" applyAlignment="1">
      <alignment horizontal="center" vertical="center" wrapText="1"/>
    </xf>
    <xf numFmtId="0" fontId="24" fillId="0" borderId="0" xfId="18" applyAlignment="1">
      <alignment horizontal="center"/>
    </xf>
    <xf numFmtId="0" fontId="16" fillId="3" borderId="53" xfId="18" applyFont="1" applyFill="1" applyBorder="1" applyAlignment="1">
      <alignment horizontal="center" vertical="center" wrapText="1"/>
    </xf>
    <xf numFmtId="0" fontId="16" fillId="3" borderId="54" xfId="18" applyFont="1" applyFill="1" applyBorder="1" applyAlignment="1">
      <alignment horizontal="center" vertical="center" wrapText="1"/>
    </xf>
    <xf numFmtId="0" fontId="16" fillId="3" borderId="55" xfId="18" applyFont="1" applyFill="1" applyBorder="1" applyAlignment="1">
      <alignment horizontal="center" vertical="center" wrapText="1"/>
    </xf>
    <xf numFmtId="0" fontId="16" fillId="3" borderId="53" xfId="18" applyFont="1" applyFill="1" applyBorder="1" applyAlignment="1">
      <alignment horizontal="center" vertical="center" wrapText="1"/>
    </xf>
    <xf numFmtId="0" fontId="16" fillId="3" borderId="54" xfId="18" applyFont="1" applyFill="1" applyBorder="1" applyAlignment="1">
      <alignment horizontal="center" vertical="center" wrapText="1"/>
    </xf>
    <xf numFmtId="164" fontId="16" fillId="3" borderId="54" xfId="18" applyNumberFormat="1" applyFont="1" applyFill="1" applyBorder="1" applyAlignment="1">
      <alignment horizontal="center" vertical="center" wrapText="1"/>
    </xf>
    <xf numFmtId="0" fontId="16" fillId="3" borderId="54" xfId="18" applyFont="1" applyFill="1" applyBorder="1" applyAlignment="1">
      <alignment vertical="center" wrapText="1"/>
    </xf>
    <xf numFmtId="164" fontId="16" fillId="3" borderId="54" xfId="18" applyNumberFormat="1" applyFont="1" applyFill="1" applyBorder="1" applyAlignment="1">
      <alignment horizontal="center" vertical="center" wrapText="1"/>
    </xf>
    <xf numFmtId="164" fontId="16" fillId="3" borderId="56" xfId="18" applyNumberFormat="1" applyFont="1" applyFill="1" applyBorder="1" applyAlignment="1">
      <alignment horizontal="center" vertical="center" wrapText="1"/>
    </xf>
    <xf numFmtId="164" fontId="14" fillId="0" borderId="0" xfId="18" applyNumberFormat="1" applyFont="1" applyAlignment="1">
      <alignment horizontal="center"/>
    </xf>
    <xf numFmtId="44" fontId="9" fillId="2" borderId="0" xfId="32" applyFont="1" applyFill="1" applyAlignment="1">
      <alignment horizontal="left" vertical="top"/>
    </xf>
    <xf numFmtId="0" fontId="9" fillId="2" borderId="0" xfId="18" applyFont="1" applyFill="1" applyAlignment="1">
      <alignment horizontal="left" vertical="top"/>
    </xf>
    <xf numFmtId="10" fontId="9" fillId="2" borderId="0" xfId="18" applyNumberFormat="1" applyFont="1" applyFill="1" applyAlignment="1">
      <alignment horizontal="left" vertical="top"/>
    </xf>
    <xf numFmtId="0" fontId="16" fillId="3" borderId="47" xfId="18" applyFont="1" applyFill="1" applyBorder="1" applyAlignment="1">
      <alignment horizontal="center" vertical="center" wrapText="1"/>
    </xf>
    <xf numFmtId="0" fontId="16" fillId="3" borderId="2" xfId="18" applyFont="1" applyFill="1" applyBorder="1" applyAlignment="1">
      <alignment horizontal="center" vertical="center" wrapText="1"/>
    </xf>
    <xf numFmtId="0" fontId="15" fillId="3" borderId="2" xfId="18" applyFont="1" applyFill="1" applyBorder="1" applyAlignment="1">
      <alignment horizontal="center" vertical="center" wrapText="1"/>
    </xf>
    <xf numFmtId="0" fontId="15" fillId="3" borderId="2" xfId="18" applyFont="1" applyFill="1" applyBorder="1" applyAlignment="1">
      <alignment horizontal="right" vertical="center" wrapText="1"/>
    </xf>
    <xf numFmtId="164" fontId="15" fillId="3" borderId="2" xfId="18" applyNumberFormat="1" applyFont="1" applyFill="1" applyBorder="1" applyAlignment="1">
      <alignment horizontal="right" vertical="center" wrapText="1"/>
    </xf>
    <xf numFmtId="43" fontId="16" fillId="3" borderId="10" xfId="20" applyFont="1" applyFill="1" applyBorder="1" applyAlignment="1">
      <alignment horizontal="right" vertical="center"/>
    </xf>
    <xf numFmtId="10" fontId="16" fillId="3" borderId="9" xfId="18" applyNumberFormat="1" applyFont="1" applyFill="1" applyBorder="1" applyAlignment="1">
      <alignment horizontal="center" vertical="center" wrapText="1"/>
    </xf>
    <xf numFmtId="164" fontId="15" fillId="3" borderId="0" xfId="18" applyNumberFormat="1" applyFont="1" applyFill="1" applyAlignment="1">
      <alignment horizontal="right" vertical="center" wrapText="1"/>
    </xf>
    <xf numFmtId="0" fontId="16" fillId="6" borderId="48" xfId="18" applyFont="1" applyFill="1" applyBorder="1" applyAlignment="1">
      <alignment horizontal="left" vertical="center" wrapText="1"/>
    </xf>
    <xf numFmtId="0" fontId="13" fillId="6" borderId="1" xfId="18" applyFont="1" applyFill="1" applyBorder="1" applyAlignment="1">
      <alignment horizontal="center" vertical="center" wrapText="1"/>
    </xf>
    <xf numFmtId="0" fontId="16" fillId="6" borderId="1" xfId="18" applyFont="1" applyFill="1" applyBorder="1" applyAlignment="1">
      <alignment horizontal="left" vertical="center" wrapText="1"/>
    </xf>
    <xf numFmtId="0" fontId="16" fillId="6" borderId="1" xfId="18" applyFont="1" applyFill="1" applyBorder="1" applyAlignment="1">
      <alignment horizontal="center" vertical="center" wrapText="1"/>
    </xf>
    <xf numFmtId="167" fontId="16" fillId="6" borderId="1" xfId="18" applyNumberFormat="1" applyFont="1" applyFill="1" applyBorder="1" applyAlignment="1">
      <alignment horizontal="right" vertical="center" readingOrder="1"/>
    </xf>
    <xf numFmtId="4" fontId="16" fillId="6" borderId="1" xfId="18" applyNumberFormat="1" applyFont="1" applyFill="1" applyBorder="1" applyAlignment="1">
      <alignment horizontal="right" vertical="center" wrapText="1"/>
    </xf>
    <xf numFmtId="43" fontId="16" fillId="6" borderId="1" xfId="20" applyFont="1" applyFill="1" applyBorder="1" applyAlignment="1">
      <alignment horizontal="right" vertical="center" shrinkToFit="1"/>
    </xf>
    <xf numFmtId="10" fontId="16" fillId="6" borderId="13" xfId="18" applyNumberFormat="1" applyFont="1" applyFill="1" applyBorder="1" applyAlignment="1">
      <alignment horizontal="center" vertical="center" wrapText="1"/>
    </xf>
    <xf numFmtId="4" fontId="16" fillId="6" borderId="0" xfId="18" applyNumberFormat="1" applyFont="1" applyFill="1" applyAlignment="1">
      <alignment horizontal="right" vertical="center" wrapText="1"/>
    </xf>
    <xf numFmtId="2" fontId="24" fillId="0" borderId="0" xfId="18" applyNumberFormat="1" applyAlignment="1">
      <alignment horizontal="left" vertical="top"/>
    </xf>
    <xf numFmtId="44" fontId="0" fillId="0" borderId="0" xfId="32" applyFont="1" applyAlignment="1">
      <alignment horizontal="left" vertical="top"/>
    </xf>
    <xf numFmtId="2" fontId="52" fillId="0" borderId="0" xfId="18" applyNumberFormat="1" applyFont="1" applyAlignment="1">
      <alignment horizontal="left" vertical="top"/>
    </xf>
    <xf numFmtId="10" fontId="24" fillId="0" borderId="0" xfId="18" applyNumberFormat="1" applyAlignment="1">
      <alignment horizontal="left" vertical="top"/>
    </xf>
    <xf numFmtId="0" fontId="16" fillId="5" borderId="48" xfId="18" applyFont="1" applyFill="1" applyBorder="1" applyAlignment="1">
      <alignment horizontal="left" vertical="center" wrapText="1"/>
    </xf>
    <xf numFmtId="0" fontId="13" fillId="5" borderId="1" xfId="18" applyFont="1" applyFill="1" applyBorder="1" applyAlignment="1">
      <alignment horizontal="center" vertical="center" wrapText="1"/>
    </xf>
    <xf numFmtId="0" fontId="16" fillId="5" borderId="1" xfId="18" applyFont="1" applyFill="1" applyBorder="1" applyAlignment="1">
      <alignment horizontal="left" vertical="center" wrapText="1"/>
    </xf>
    <xf numFmtId="0" fontId="16" fillId="5" borderId="1" xfId="18" applyFont="1" applyFill="1" applyBorder="1" applyAlignment="1">
      <alignment horizontal="center" vertical="center" wrapText="1"/>
    </xf>
    <xf numFmtId="167" fontId="16" fillId="5" borderId="1" xfId="18" applyNumberFormat="1" applyFont="1" applyFill="1" applyBorder="1" applyAlignment="1">
      <alignment horizontal="right" vertical="center" readingOrder="1"/>
    </xf>
    <xf numFmtId="4" fontId="16" fillId="5" borderId="1" xfId="18" applyNumberFormat="1" applyFont="1" applyFill="1" applyBorder="1" applyAlignment="1">
      <alignment horizontal="right" vertical="center" wrapText="1"/>
    </xf>
    <xf numFmtId="43" fontId="16" fillId="5" borderId="1" xfId="20" applyFont="1" applyFill="1" applyBorder="1" applyAlignment="1">
      <alignment horizontal="right" vertical="center" shrinkToFit="1"/>
    </xf>
    <xf numFmtId="10" fontId="16" fillId="5" borderId="13" xfId="18" applyNumberFormat="1" applyFont="1" applyFill="1" applyBorder="1" applyAlignment="1">
      <alignment horizontal="center" vertical="center" wrapText="1"/>
    </xf>
    <xf numFmtId="4" fontId="16" fillId="5" borderId="0" xfId="18" applyNumberFormat="1" applyFont="1" applyFill="1" applyAlignment="1">
      <alignment horizontal="right" vertical="center" wrapText="1"/>
    </xf>
    <xf numFmtId="0" fontId="16" fillId="7" borderId="48" xfId="18" applyFont="1" applyFill="1" applyBorder="1" applyAlignment="1">
      <alignment horizontal="left" vertical="center" wrapText="1"/>
    </xf>
    <xf numFmtId="0" fontId="13" fillId="7" borderId="1" xfId="18" applyFont="1" applyFill="1" applyBorder="1" applyAlignment="1">
      <alignment horizontal="center" vertical="center" wrapText="1"/>
    </xf>
    <xf numFmtId="0" fontId="16" fillId="7" borderId="1" xfId="18" applyFont="1" applyFill="1" applyBorder="1" applyAlignment="1">
      <alignment horizontal="left" vertical="center" wrapText="1"/>
    </xf>
    <xf numFmtId="0" fontId="16" fillId="7" borderId="1" xfId="18" applyFont="1" applyFill="1" applyBorder="1" applyAlignment="1">
      <alignment horizontal="center" vertical="center" wrapText="1"/>
    </xf>
    <xf numFmtId="167" fontId="16" fillId="7" borderId="1" xfId="18" applyNumberFormat="1" applyFont="1" applyFill="1" applyBorder="1" applyAlignment="1">
      <alignment horizontal="right" vertical="center" readingOrder="1"/>
    </xf>
    <xf numFmtId="4" fontId="16" fillId="7" borderId="1" xfId="18" applyNumberFormat="1" applyFont="1" applyFill="1" applyBorder="1" applyAlignment="1">
      <alignment horizontal="right" vertical="center" wrapText="1"/>
    </xf>
    <xf numFmtId="43" fontId="16" fillId="7" borderId="1" xfId="20" applyFont="1" applyFill="1" applyBorder="1" applyAlignment="1">
      <alignment horizontal="right" vertical="center" shrinkToFit="1"/>
    </xf>
    <xf numFmtId="10" fontId="16" fillId="7" borderId="13" xfId="18" applyNumberFormat="1" applyFont="1" applyFill="1" applyBorder="1" applyAlignment="1">
      <alignment horizontal="center" vertical="center" wrapText="1"/>
    </xf>
    <xf numFmtId="4" fontId="16" fillId="7" borderId="0" xfId="18" applyNumberFormat="1" applyFont="1" applyFill="1" applyAlignment="1">
      <alignment horizontal="right" vertical="center" wrapText="1"/>
    </xf>
    <xf numFmtId="0" fontId="15" fillId="2" borderId="48" xfId="18" applyFont="1" applyFill="1" applyBorder="1" applyAlignment="1">
      <alignment horizontal="left" vertical="center" wrapText="1"/>
    </xf>
    <xf numFmtId="0" fontId="15" fillId="2" borderId="1" xfId="18" applyFont="1" applyFill="1" applyBorder="1" applyAlignment="1">
      <alignment horizontal="center" vertical="center" wrapText="1"/>
    </xf>
    <xf numFmtId="0" fontId="15" fillId="2" borderId="1" xfId="18" applyFont="1" applyFill="1" applyBorder="1" applyAlignment="1">
      <alignment horizontal="left" vertical="center" wrapText="1"/>
    </xf>
    <xf numFmtId="43" fontId="15" fillId="0" borderId="1" xfId="20" applyFont="1" applyBorder="1" applyAlignment="1">
      <alignment horizontal="right" vertical="center" readingOrder="1"/>
    </xf>
    <xf numFmtId="4" fontId="15" fillId="2" borderId="1" xfId="18" applyNumberFormat="1" applyFont="1" applyFill="1" applyBorder="1" applyAlignment="1">
      <alignment horizontal="right" vertical="center" shrinkToFit="1"/>
    </xf>
    <xf numFmtId="43" fontId="15" fillId="2" borderId="1" xfId="20" applyFont="1" applyFill="1" applyBorder="1" applyAlignment="1">
      <alignment horizontal="right" vertical="center" shrinkToFit="1"/>
    </xf>
    <xf numFmtId="43" fontId="15" fillId="2" borderId="11" xfId="34" applyFont="1" applyFill="1" applyBorder="1" applyAlignment="1">
      <alignment horizontal="right" vertical="center" shrinkToFit="1"/>
    </xf>
    <xf numFmtId="43" fontId="15" fillId="2" borderId="13" xfId="34" applyFont="1" applyFill="1" applyBorder="1" applyAlignment="1">
      <alignment horizontal="right" vertical="center" shrinkToFit="1"/>
    </xf>
    <xf numFmtId="10" fontId="15" fillId="2" borderId="13" xfId="34" applyNumberFormat="1" applyFont="1" applyFill="1" applyBorder="1" applyAlignment="1">
      <alignment horizontal="center" vertical="center" shrinkToFit="1"/>
    </xf>
    <xf numFmtId="43" fontId="15" fillId="2" borderId="0" xfId="34" applyFont="1" applyFill="1" applyBorder="1" applyAlignment="1">
      <alignment horizontal="right" vertical="center" shrinkToFit="1"/>
    </xf>
    <xf numFmtId="2" fontId="101" fillId="0" borderId="0" xfId="18" applyNumberFormat="1" applyFont="1" applyAlignment="1">
      <alignment horizontal="left" vertical="top"/>
    </xf>
    <xf numFmtId="44" fontId="101" fillId="0" borderId="0" xfId="32" applyFont="1" applyAlignment="1">
      <alignment horizontal="left" vertical="top"/>
    </xf>
    <xf numFmtId="10" fontId="101" fillId="0" borderId="0" xfId="18" applyNumberFormat="1" applyFont="1" applyAlignment="1">
      <alignment horizontal="left" vertical="top"/>
    </xf>
    <xf numFmtId="0" fontId="101" fillId="0" borderId="0" xfId="18" applyFont="1" applyAlignment="1">
      <alignment horizontal="left" vertical="top"/>
    </xf>
    <xf numFmtId="2" fontId="51" fillId="0" borderId="0" xfId="18" applyNumberFormat="1" applyFont="1" applyAlignment="1">
      <alignment horizontal="left" vertical="top"/>
    </xf>
    <xf numFmtId="44" fontId="51" fillId="0" borderId="0" xfId="32" applyFont="1" applyAlignment="1">
      <alignment horizontal="left" vertical="top"/>
    </xf>
    <xf numFmtId="2" fontId="102" fillId="0" borderId="0" xfId="18" applyNumberFormat="1" applyFont="1" applyAlignment="1">
      <alignment horizontal="left" vertical="top"/>
    </xf>
    <xf numFmtId="0" fontId="51" fillId="0" borderId="0" xfId="18" applyFont="1" applyAlignment="1">
      <alignment horizontal="left" vertical="top"/>
    </xf>
    <xf numFmtId="0" fontId="15" fillId="0" borderId="1" xfId="18" applyFont="1" applyBorder="1" applyAlignment="1">
      <alignment horizontal="center" vertical="center" wrapText="1"/>
    </xf>
    <xf numFmtId="0" fontId="15" fillId="0" borderId="1" xfId="18" applyFont="1" applyBorder="1" applyAlignment="1">
      <alignment horizontal="left" vertical="center" wrapText="1"/>
    </xf>
    <xf numFmtId="0" fontId="15" fillId="2" borderId="1" xfId="35" applyFont="1" applyFill="1" applyBorder="1" applyAlignment="1">
      <alignment horizontal="left" vertical="center" wrapText="1"/>
    </xf>
    <xf numFmtId="0" fontId="17" fillId="5" borderId="1" xfId="18" applyFont="1" applyFill="1" applyBorder="1" applyAlignment="1">
      <alignment horizontal="center" vertical="center" wrapText="1"/>
    </xf>
    <xf numFmtId="0" fontId="16" fillId="22" borderId="48" xfId="18" applyFont="1" applyFill="1" applyBorder="1" applyAlignment="1">
      <alignment horizontal="left" vertical="center" wrapText="1"/>
    </xf>
    <xf numFmtId="0" fontId="16" fillId="22" borderId="1" xfId="18" applyFont="1" applyFill="1" applyBorder="1" applyAlignment="1">
      <alignment horizontal="center" vertical="center" wrapText="1"/>
    </xf>
    <xf numFmtId="0" fontId="16" fillId="22" borderId="1" xfId="18" applyFont="1" applyFill="1" applyBorder="1" applyAlignment="1">
      <alignment horizontal="left" vertical="center" wrapText="1"/>
    </xf>
    <xf numFmtId="43" fontId="16" fillId="22" borderId="1" xfId="20" applyFont="1" applyFill="1" applyBorder="1" applyAlignment="1">
      <alignment horizontal="right" vertical="center" readingOrder="1"/>
    </xf>
    <xf numFmtId="4" fontId="16" fillId="22" borderId="1" xfId="18" applyNumberFormat="1" applyFont="1" applyFill="1" applyBorder="1" applyAlignment="1">
      <alignment horizontal="right" vertical="center" shrinkToFit="1"/>
    </xf>
    <xf numFmtId="43" fontId="16" fillId="22" borderId="1" xfId="20" applyFont="1" applyFill="1" applyBorder="1" applyAlignment="1">
      <alignment horizontal="right" vertical="center" shrinkToFit="1"/>
    </xf>
    <xf numFmtId="10" fontId="16" fillId="22" borderId="13" xfId="18" applyNumberFormat="1" applyFont="1" applyFill="1" applyBorder="1" applyAlignment="1">
      <alignment horizontal="center" vertical="center" shrinkToFit="1"/>
    </xf>
    <xf numFmtId="10" fontId="15" fillId="2" borderId="13" xfId="18" applyNumberFormat="1" applyFont="1" applyFill="1" applyBorder="1" applyAlignment="1">
      <alignment horizontal="center" vertical="center" shrinkToFit="1"/>
    </xf>
    <xf numFmtId="0" fontId="17" fillId="6" borderId="1" xfId="18" applyFont="1" applyFill="1" applyBorder="1" applyAlignment="1">
      <alignment horizontal="center" vertical="center" wrapText="1"/>
    </xf>
    <xf numFmtId="0" fontId="15" fillId="2" borderId="49" xfId="18" applyFont="1" applyFill="1" applyBorder="1" applyAlignment="1">
      <alignment horizontal="left" vertical="center" wrapText="1"/>
    </xf>
    <xf numFmtId="0" fontId="15" fillId="2" borderId="27" xfId="18" applyFont="1" applyFill="1" applyBorder="1" applyAlignment="1">
      <alignment horizontal="center" vertical="center" wrapText="1"/>
    </xf>
    <xf numFmtId="0" fontId="15" fillId="2" borderId="27" xfId="18" applyFont="1" applyFill="1" applyBorder="1" applyAlignment="1">
      <alignment horizontal="left" vertical="center" wrapText="1"/>
    </xf>
    <xf numFmtId="43" fontId="15" fillId="0" borderId="27" xfId="20" applyFont="1" applyBorder="1" applyAlignment="1">
      <alignment horizontal="right" vertical="center" readingOrder="1"/>
    </xf>
    <xf numFmtId="4" fontId="15" fillId="2" borderId="27" xfId="18" applyNumberFormat="1" applyFont="1" applyFill="1" applyBorder="1" applyAlignment="1">
      <alignment horizontal="right" vertical="center" shrinkToFit="1"/>
    </xf>
    <xf numFmtId="43" fontId="15" fillId="2" borderId="27" xfId="20" applyFont="1" applyFill="1" applyBorder="1" applyAlignment="1">
      <alignment horizontal="right" vertical="center" shrinkToFit="1"/>
    </xf>
    <xf numFmtId="0" fontId="16" fillId="3" borderId="43" xfId="18" applyFont="1" applyFill="1" applyBorder="1" applyAlignment="1">
      <alignment horizontal="center" vertical="center" wrapText="1"/>
    </xf>
    <xf numFmtId="0" fontId="16" fillId="3" borderId="44" xfId="18" applyFont="1" applyFill="1" applyBorder="1" applyAlignment="1">
      <alignment horizontal="center" vertical="center" wrapText="1"/>
    </xf>
    <xf numFmtId="0" fontId="16" fillId="3" borderId="57" xfId="18" applyFont="1" applyFill="1" applyBorder="1" applyAlignment="1">
      <alignment horizontal="center" vertical="center" wrapText="1"/>
    </xf>
    <xf numFmtId="43" fontId="16" fillId="3" borderId="58" xfId="20" applyFont="1" applyFill="1" applyBorder="1" applyAlignment="1">
      <alignment horizontal="right" vertical="center"/>
    </xf>
    <xf numFmtId="10" fontId="16" fillId="3" borderId="44" xfId="18" applyNumberFormat="1" applyFont="1" applyFill="1" applyBorder="1" applyAlignment="1">
      <alignment horizontal="center" vertical="center" wrapText="1"/>
    </xf>
    <xf numFmtId="0" fontId="16" fillId="3" borderId="0" xfId="18" applyFont="1" applyFill="1" applyAlignment="1">
      <alignment horizontal="center" vertical="center" wrapText="1"/>
    </xf>
    <xf numFmtId="44" fontId="11" fillId="0" borderId="0" xfId="32" applyFont="1"/>
    <xf numFmtId="0" fontId="11" fillId="0" borderId="0" xfId="18" applyFont="1"/>
    <xf numFmtId="10" fontId="11" fillId="0" borderId="0" xfId="18" applyNumberFormat="1" applyFont="1"/>
    <xf numFmtId="0" fontId="9" fillId="2" borderId="0" xfId="18" applyFont="1" applyFill="1" applyAlignment="1">
      <alignment horizontal="center" vertical="center"/>
    </xf>
    <xf numFmtId="0" fontId="9" fillId="2" borderId="0" xfId="18" applyFont="1" applyFill="1" applyAlignment="1">
      <alignment horizontal="center" vertical="top"/>
    </xf>
    <xf numFmtId="0" fontId="9" fillId="2" borderId="0" xfId="18" applyFont="1" applyFill="1" applyAlignment="1">
      <alignment horizontal="right" vertical="top"/>
    </xf>
    <xf numFmtId="0" fontId="9" fillId="2" borderId="0" xfId="18" applyFont="1" applyFill="1" applyAlignment="1">
      <alignment vertical="top"/>
    </xf>
    <xf numFmtId="0" fontId="9" fillId="2" borderId="7" xfId="18" applyFont="1" applyFill="1" applyBorder="1" applyAlignment="1">
      <alignment horizontal="left" vertical="top"/>
    </xf>
    <xf numFmtId="0" fontId="30" fillId="0" borderId="39" xfId="35" applyFont="1" applyBorder="1" applyAlignment="1">
      <alignment horizontal="center" vertical="top" wrapText="1"/>
    </xf>
    <xf numFmtId="2" fontId="100" fillId="0" borderId="39" xfId="35" applyNumberFormat="1" applyFont="1" applyBorder="1" applyAlignment="1">
      <alignment horizontal="center" vertical="top" shrinkToFit="1"/>
    </xf>
    <xf numFmtId="4" fontId="100" fillId="0" borderId="39" xfId="35" applyNumberFormat="1" applyFont="1" applyBorder="1" applyAlignment="1">
      <alignment horizontal="center" vertical="top" shrinkToFit="1"/>
    </xf>
    <xf numFmtId="0" fontId="24" fillId="0" borderId="0" xfId="35" applyAlignment="1">
      <alignment horizontal="left" vertical="top"/>
    </xf>
    <xf numFmtId="0" fontId="93" fillId="0" borderId="39" xfId="35" applyFont="1" applyBorder="1" applyAlignment="1">
      <alignment horizontal="left" vertical="top" wrapText="1"/>
    </xf>
    <xf numFmtId="2" fontId="94" fillId="0" borderId="39" xfId="35" applyNumberFormat="1" applyFont="1" applyBorder="1" applyAlignment="1">
      <alignment horizontal="left" vertical="top" shrinkToFit="1"/>
    </xf>
    <xf numFmtId="4" fontId="94" fillId="0" borderId="39" xfId="35" applyNumberFormat="1" applyFont="1" applyBorder="1" applyAlignment="1">
      <alignment horizontal="left" vertical="top" shrinkToFit="1"/>
    </xf>
    <xf numFmtId="4" fontId="95" fillId="0" borderId="39" xfId="35" applyNumberFormat="1" applyFont="1" applyBorder="1" applyAlignment="1">
      <alignment horizontal="left" vertical="top" shrinkToFit="1"/>
    </xf>
    <xf numFmtId="2" fontId="95" fillId="0" borderId="39" xfId="35" applyNumberFormat="1" applyFont="1" applyBorder="1" applyAlignment="1">
      <alignment horizontal="left" vertical="top" shrinkToFit="1"/>
    </xf>
    <xf numFmtId="0" fontId="92" fillId="20" borderId="26" xfId="35" applyFont="1" applyFill="1" applyBorder="1" applyAlignment="1">
      <alignment horizontal="center" vertical="top" wrapText="1"/>
    </xf>
    <xf numFmtId="0" fontId="92" fillId="20" borderId="24" xfId="35" applyFont="1" applyFill="1" applyBorder="1" applyAlignment="1">
      <alignment horizontal="center" vertical="top" wrapText="1"/>
    </xf>
    <xf numFmtId="0" fontId="90" fillId="19" borderId="26" xfId="35" applyFont="1" applyFill="1" applyBorder="1" applyAlignment="1">
      <alignment horizontal="center" vertical="top" wrapText="1"/>
    </xf>
    <xf numFmtId="0" fontId="90" fillId="19" borderId="24" xfId="35" applyFont="1" applyFill="1" applyBorder="1" applyAlignment="1">
      <alignment horizontal="center" vertical="top" wrapText="1"/>
    </xf>
    <xf numFmtId="0" fontId="90" fillId="19" borderId="25" xfId="35" applyFont="1" applyFill="1" applyBorder="1" applyAlignment="1">
      <alignment horizontal="center" vertical="top" wrapText="1"/>
    </xf>
    <xf numFmtId="0" fontId="92" fillId="20" borderId="39" xfId="35" applyFont="1" applyFill="1" applyBorder="1" applyAlignment="1">
      <alignment horizontal="center" vertical="top" wrapText="1"/>
    </xf>
    <xf numFmtId="0" fontId="91" fillId="20" borderId="39" xfId="35" applyFont="1" applyFill="1" applyBorder="1" applyAlignment="1">
      <alignment horizontal="center" vertical="top" wrapText="1"/>
    </xf>
    <xf numFmtId="0" fontId="24" fillId="20" borderId="39" xfId="35" applyFill="1" applyBorder="1" applyAlignment="1">
      <alignment horizontal="center" vertical="top" wrapText="1"/>
    </xf>
    <xf numFmtId="0" fontId="96" fillId="0" borderId="39" xfId="35" applyFont="1" applyBorder="1" applyAlignment="1">
      <alignment horizontal="left" vertical="top" wrapText="1"/>
    </xf>
    <xf numFmtId="4" fontId="97" fillId="0" borderId="39" xfId="35" applyNumberFormat="1" applyFont="1" applyBorder="1" applyAlignment="1">
      <alignment horizontal="center" vertical="top" shrinkToFit="1"/>
    </xf>
    <xf numFmtId="2" fontId="97" fillId="0" borderId="39" xfId="35" applyNumberFormat="1" applyFont="1" applyBorder="1" applyAlignment="1">
      <alignment horizontal="center" vertical="top" shrinkToFit="1"/>
    </xf>
    <xf numFmtId="0" fontId="98" fillId="20" borderId="39" xfId="35" applyFont="1" applyFill="1" applyBorder="1" applyAlignment="1">
      <alignment horizontal="right" vertical="top" wrapText="1"/>
    </xf>
    <xf numFmtId="4" fontId="99" fillId="20" borderId="39" xfId="35" applyNumberFormat="1" applyFont="1" applyFill="1" applyBorder="1" applyAlignment="1">
      <alignment horizontal="center" vertical="top" shrinkToFit="1"/>
    </xf>
    <xf numFmtId="2" fontId="99" fillId="20" borderId="39" xfId="35" applyNumberFormat="1" applyFont="1" applyFill="1" applyBorder="1" applyAlignment="1">
      <alignment horizontal="center" vertical="top" shrinkToFit="1"/>
    </xf>
    <xf numFmtId="0" fontId="105" fillId="18" borderId="26" xfId="36" applyFont="1" applyFill="1" applyBorder="1" applyAlignment="1">
      <alignment horizontal="center" vertical="top" wrapText="1"/>
    </xf>
    <xf numFmtId="0" fontId="105" fillId="18" borderId="24" xfId="36" applyFont="1" applyFill="1" applyBorder="1" applyAlignment="1">
      <alignment horizontal="center" vertical="top" wrapText="1"/>
    </xf>
    <xf numFmtId="0" fontId="24" fillId="0" borderId="0" xfId="36" applyAlignment="1">
      <alignment horizontal="left" vertical="top"/>
    </xf>
    <xf numFmtId="0" fontId="98" fillId="19" borderId="26" xfId="36" applyFont="1" applyFill="1" applyBorder="1" applyAlignment="1">
      <alignment horizontal="center" vertical="center" wrapText="1"/>
    </xf>
    <xf numFmtId="0" fontId="98" fillId="19" borderId="25" xfId="36" applyFont="1" applyFill="1" applyBorder="1" applyAlignment="1">
      <alignment horizontal="center" vertical="center" wrapText="1"/>
    </xf>
    <xf numFmtId="0" fontId="98" fillId="19" borderId="39" xfId="36" applyFont="1" applyFill="1" applyBorder="1" applyAlignment="1">
      <alignment horizontal="center" vertical="center" wrapText="1"/>
    </xf>
    <xf numFmtId="0" fontId="30" fillId="0" borderId="26" xfId="33" applyFont="1" applyBorder="1" applyAlignment="1">
      <alignment horizontal="left" vertical="top" wrapText="1" indent="1"/>
    </xf>
    <xf numFmtId="0" fontId="30" fillId="0" borderId="25" xfId="33" applyFont="1" applyBorder="1" applyAlignment="1">
      <alignment horizontal="left" vertical="top" wrapText="1" indent="1"/>
    </xf>
    <xf numFmtId="2" fontId="100" fillId="0" borderId="39" xfId="33" applyNumberFormat="1" applyFont="1" applyBorder="1" applyAlignment="1">
      <alignment horizontal="center" vertical="top" shrinkToFit="1"/>
    </xf>
    <xf numFmtId="2" fontId="100" fillId="0" borderId="39" xfId="33" quotePrefix="1" applyNumberFormat="1" applyFont="1" applyBorder="1" applyAlignment="1">
      <alignment horizontal="center" vertical="center" shrinkToFit="1"/>
    </xf>
    <xf numFmtId="2" fontId="100" fillId="0" borderId="39" xfId="33" applyNumberFormat="1" applyFont="1" applyBorder="1" applyAlignment="1">
      <alignment horizontal="center" vertical="center" shrinkToFit="1"/>
    </xf>
    <xf numFmtId="2" fontId="100" fillId="0" borderId="39" xfId="33" applyNumberFormat="1" applyFont="1" applyBorder="1" applyAlignment="1">
      <alignment horizontal="right" vertical="center" shrinkToFit="1"/>
    </xf>
    <xf numFmtId="43" fontId="100" fillId="0" borderId="39" xfId="34" applyFont="1" applyBorder="1" applyAlignment="1">
      <alignment horizontal="right" vertical="center" shrinkToFit="1"/>
    </xf>
    <xf numFmtId="4" fontId="100" fillId="0" borderId="39" xfId="33" applyNumberFormat="1" applyFont="1" applyBorder="1" applyAlignment="1">
      <alignment horizontal="right" vertical="center" shrinkToFit="1"/>
    </xf>
    <xf numFmtId="0" fontId="1" fillId="0" borderId="0" xfId="33" applyAlignment="1">
      <alignment horizontal="left" vertical="top"/>
    </xf>
    <xf numFmtId="0" fontId="30" fillId="0" borderId="26" xfId="33" applyFont="1" applyBorder="1" applyAlignment="1">
      <alignment horizontal="right" vertical="top" wrapText="1" indent="1"/>
    </xf>
    <xf numFmtId="0" fontId="30" fillId="0" borderId="25" xfId="33" applyFont="1" applyBorder="1" applyAlignment="1">
      <alignment horizontal="right" vertical="top" wrapText="1" indent="1"/>
    </xf>
    <xf numFmtId="2" fontId="100" fillId="0" borderId="39" xfId="33" applyNumberFormat="1" applyFont="1" applyBorder="1" applyAlignment="1">
      <alignment horizontal="right" vertical="top" indent="2" shrinkToFit="1"/>
    </xf>
    <xf numFmtId="4" fontId="100" fillId="0" borderId="39" xfId="33" applyNumberFormat="1" applyFont="1" applyBorder="1" applyAlignment="1">
      <alignment horizontal="right" vertical="top" indent="2" shrinkToFit="1"/>
    </xf>
    <xf numFmtId="4" fontId="24" fillId="0" borderId="0" xfId="36" applyNumberFormat="1" applyAlignment="1">
      <alignment horizontal="left" vertical="top"/>
    </xf>
    <xf numFmtId="0" fontId="17" fillId="0" borderId="0" xfId="36" applyFont="1" applyAlignment="1">
      <alignment horizontal="center" vertical="top"/>
    </xf>
    <xf numFmtId="0" fontId="17" fillId="0" borderId="0" xfId="36" applyFont="1" applyAlignment="1">
      <alignment horizontal="center" vertical="top"/>
    </xf>
    <xf numFmtId="0" fontId="17" fillId="0" borderId="0" xfId="36" applyFont="1" applyAlignment="1">
      <alignment vertical="top"/>
    </xf>
    <xf numFmtId="0" fontId="13" fillId="0" borderId="0" xfId="36" applyFont="1" applyAlignment="1">
      <alignment horizontal="left" vertical="top"/>
    </xf>
    <xf numFmtId="0" fontId="13" fillId="0" borderId="0" xfId="36" applyFont="1" applyAlignment="1">
      <alignment horizontal="center" vertical="top"/>
    </xf>
    <xf numFmtId="43" fontId="13" fillId="0" borderId="0" xfId="34" applyFont="1" applyBorder="1" applyAlignment="1">
      <alignment horizontal="left" vertical="top"/>
    </xf>
    <xf numFmtId="0" fontId="13" fillId="0" borderId="0" xfId="36" applyFont="1" applyAlignment="1">
      <alignment horizontal="left" vertical="top"/>
    </xf>
    <xf numFmtId="0" fontId="13" fillId="0" borderId="0" xfId="36" applyFont="1" applyAlignment="1">
      <alignment horizontal="left" vertical="top" wrapText="1"/>
    </xf>
    <xf numFmtId="43" fontId="13" fillId="0" borderId="0" xfId="34" applyFont="1" applyAlignment="1">
      <alignment horizontal="left" vertical="top"/>
    </xf>
  </cellXfs>
  <cellStyles count="37">
    <cellStyle name="Moeda 2" xfId="15" xr:uid="{97591310-B3EB-473F-B758-EDE10BEF5D58}"/>
    <cellStyle name="Moeda 2 2" xfId="32" xr:uid="{1A2B749E-1B5D-4ED7-8468-BABAA8CAFBE6}"/>
    <cellStyle name="Moeda 3" xfId="26" xr:uid="{5CDB2B58-CE4B-4FB2-B663-2EAAF5BB4979}"/>
    <cellStyle name="Moeda 4" xfId="29" xr:uid="{FB6D7F89-5AC8-4B8C-AF5C-4BD360148D24}"/>
    <cellStyle name="Normal" xfId="0" builtinId="0"/>
    <cellStyle name="Normal 10" xfId="33" xr:uid="{F6D3D2AB-DC75-42D6-A867-FB87011A84FA}"/>
    <cellStyle name="Normal 2" xfId="1" xr:uid="{204BF052-2A07-4CBF-AD92-138E3DAE3260}"/>
    <cellStyle name="Normal 2 2" xfId="2" xr:uid="{A745A24A-D40B-4FA7-A57E-311D500D2F57}"/>
    <cellStyle name="Normal 2 3" xfId="30" xr:uid="{5C75659D-91A3-46D8-9D26-239EF1493D18}"/>
    <cellStyle name="Normal 2 3 2" xfId="13" xr:uid="{9E5E5A49-88A6-4D30-84F2-ABF56D6F7D4E}"/>
    <cellStyle name="Normal 3" xfId="8" xr:uid="{B43A7769-03B3-4EC7-BB09-3A4D08260946}"/>
    <cellStyle name="Normal 3 2" xfId="35" xr:uid="{0532D961-AAA6-433B-A145-CDEC1DE1A4AD}"/>
    <cellStyle name="Normal 3 3" xfId="18" xr:uid="{C5410D75-E258-4439-9682-57BE2E2B9DF5}"/>
    <cellStyle name="Normal 3 3 2" xfId="21" xr:uid="{CC25578F-C84F-4539-84F4-C740FF4E9295}"/>
    <cellStyle name="Normal 4" xfId="10" xr:uid="{517A9F8C-9865-47DE-A938-4BFDCCA0BDED}"/>
    <cellStyle name="Normal 4 2" xfId="19" xr:uid="{76B9AA3F-CFF7-4739-AAF2-1AD5E3BEDE96}"/>
    <cellStyle name="Normal 4 2 2" xfId="23" xr:uid="{DE93261F-820B-47C2-8C69-31C48D9E619E}"/>
    <cellStyle name="Normal 4 3" xfId="14" xr:uid="{1E628FB7-C9D4-4737-BFAA-91FF0FDD0F01}"/>
    <cellStyle name="Normal 5" xfId="11" xr:uid="{3E3AF855-B393-4A81-A254-EBB76C3DABFC}"/>
    <cellStyle name="Normal 5 2" xfId="24" xr:uid="{E139BB85-EDA7-4F01-8130-7C024D0B5603}"/>
    <cellStyle name="Normal 5 3" xfId="36" xr:uid="{72BD12EE-60A4-436D-BA08-F9E0E9E977B6}"/>
    <cellStyle name="Normal 6" xfId="17" xr:uid="{BF2B0B67-D567-4CFF-B723-012A9D2C45FB}"/>
    <cellStyle name="Normal 7" xfId="25" xr:uid="{C94627E7-D9F6-4ADD-93F3-297CC58D7D07}"/>
    <cellStyle name="Normal 8" xfId="27" xr:uid="{31C89091-D8D6-4D9C-8919-D57667B8AD85}"/>
    <cellStyle name="Normal 9" xfId="31" xr:uid="{4A356BC4-3CCD-4F42-9ECA-6F46F37CC0AA}"/>
    <cellStyle name="Porcentagem" xfId="7" builtinId="5"/>
    <cellStyle name="Porcentagem 2" xfId="4" xr:uid="{6AD9715E-4AFB-48D7-98D6-EFDBEF94EBD1}"/>
    <cellStyle name="Porcentagem 3" xfId="5" xr:uid="{C1C3FB93-F6D7-40BB-9DDE-605C73947460}"/>
    <cellStyle name="Porcentagem 4" xfId="16" xr:uid="{A12DDBF4-6344-4D46-A7A5-4310275A96E2}"/>
    <cellStyle name="Separador de milhares 4" xfId="3" xr:uid="{6A0D8946-B189-490D-8C7A-E29695CA90C8}"/>
    <cellStyle name="Vírgula" xfId="6" builtinId="3"/>
    <cellStyle name="Vírgula 2" xfId="9" xr:uid="{589CA557-A0EA-45C0-B9DF-A1153977FFCA}"/>
    <cellStyle name="Vírgula 2 2" xfId="20" xr:uid="{197695BA-6EF9-4BB4-B4BA-ACD4DC334E97}"/>
    <cellStyle name="Vírgula 2 3" xfId="22" xr:uid="{0EEFCAC6-DF07-4362-A7F2-18B71EF39D12}"/>
    <cellStyle name="Vírgula 3" xfId="28" xr:uid="{92EBF181-8E34-4E54-AFEC-9AD84F3348E9}"/>
    <cellStyle name="Vírgula 4" xfId="12" xr:uid="{7D20224F-2294-47C0-AA47-14E7B3C8E1E0}"/>
    <cellStyle name="Vírgula 5" xfId="34" xr:uid="{26685B34-B1D6-40C8-8056-0EA7314F536E}"/>
  </cellStyles>
  <dxfs count="15"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00B050"/>
      </font>
    </dxf>
    <dxf>
      <font>
        <color rgb="FFFA9B4C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A9B4C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635682</xdr:colOff>
      <xdr:row>1</xdr:row>
      <xdr:rowOff>2185</xdr:rowOff>
    </xdr:from>
    <xdr:to>
      <xdr:col>7</xdr:col>
      <xdr:colOff>143660</xdr:colOff>
      <xdr:row>4</xdr:row>
      <xdr:rowOff>327742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069" y="166056"/>
          <a:ext cx="702870" cy="8171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498672</xdr:colOff>
      <xdr:row>1</xdr:row>
      <xdr:rowOff>31378</xdr:rowOff>
    </xdr:from>
    <xdr:to>
      <xdr:col>15</xdr:col>
      <xdr:colOff>473688</xdr:colOff>
      <xdr:row>5</xdr:row>
      <xdr:rowOff>66515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658898-993E-40EB-B325-1020367AF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9047" y="240928"/>
          <a:ext cx="1051341" cy="100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739773</xdr:colOff>
      <xdr:row>1</xdr:row>
      <xdr:rowOff>43543</xdr:rowOff>
    </xdr:from>
    <xdr:to>
      <xdr:col>7</xdr:col>
      <xdr:colOff>1648730</xdr:colOff>
      <xdr:row>5</xdr:row>
      <xdr:rowOff>152325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7468DD-BFEC-4059-99C0-69B48B77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094" y="206829"/>
          <a:ext cx="908957" cy="9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669483</xdr:colOff>
      <xdr:row>0</xdr:row>
      <xdr:rowOff>150260</xdr:rowOff>
    </xdr:from>
    <xdr:to>
      <xdr:col>3</xdr:col>
      <xdr:colOff>1587987</xdr:colOff>
      <xdr:row>5</xdr:row>
      <xdr:rowOff>68967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9F3F29-C3E9-4107-8646-E4A1A18F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033" y="150260"/>
          <a:ext cx="918504" cy="72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263524</xdr:colOff>
      <xdr:row>1</xdr:row>
      <xdr:rowOff>29935</xdr:rowOff>
    </xdr:from>
    <xdr:to>
      <xdr:col>18</xdr:col>
      <xdr:colOff>356053</xdr:colOff>
      <xdr:row>5</xdr:row>
      <xdr:rowOff>138717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3203" y="193221"/>
          <a:ext cx="908957" cy="9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F1723A75-7245-46FC-9513-8B9F88A08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106642</xdr:colOff>
      <xdr:row>0</xdr:row>
      <xdr:rowOff>89647</xdr:rowOff>
    </xdr:from>
    <xdr:to>
      <xdr:col>7</xdr:col>
      <xdr:colOff>1021682</xdr:colOff>
      <xdr:row>4</xdr:row>
      <xdr:rowOff>17879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004DE3-D0F8-400F-8AA8-62E6003E5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7217" y="89647"/>
          <a:ext cx="915040" cy="728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A5CA5411-B109-4942-B39B-63464CFD2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144780</xdr:colOff>
      <xdr:row>0</xdr:row>
      <xdr:rowOff>137160</xdr:rowOff>
    </xdr:from>
    <xdr:to>
      <xdr:col>9</xdr:col>
      <xdr:colOff>4429</xdr:colOff>
      <xdr:row>0</xdr:row>
      <xdr:rowOff>685800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8D7BBD49-0342-45D7-9B4B-662966F4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705" y="137160"/>
          <a:ext cx="1593199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372999</xdr:colOff>
      <xdr:row>0</xdr:row>
      <xdr:rowOff>39516</xdr:rowOff>
    </xdr:from>
    <xdr:ext cx="828547" cy="629412"/>
    <xdr:pic>
      <xdr:nvPicPr>
        <xdr:cNvPr id="2" name="image1.jpeg">
          <a:extLst>
            <a:ext uri="{FF2B5EF4-FFF2-40B4-BE49-F238E27FC236}">
              <a16:creationId xmlns:a16="http://schemas.microsoft.com/office/drawing/2014/main" id="{366CB16A-CD1F-4921-A0EA-F56839231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999" y="39516"/>
          <a:ext cx="828547" cy="629412"/>
        </a:xfrm>
        <a:prstGeom prst="rect">
          <a:avLst/>
        </a:prstGeom>
      </xdr:spPr>
    </xdr:pic>
    <xdr:clientData/>
  </xdr:oneCellAnchor>
  <xdr:twoCellAnchor editAs="oneCell">
    <xdr:from>
      <xdr:col>7</xdr:col>
      <xdr:colOff>144780</xdr:colOff>
      <xdr:row>0</xdr:row>
      <xdr:rowOff>137160</xdr:rowOff>
    </xdr:from>
    <xdr:to>
      <xdr:col>9</xdr:col>
      <xdr:colOff>4429</xdr:colOff>
      <xdr:row>0</xdr:row>
      <xdr:rowOff>685800</xdr:rowOff>
    </xdr:to>
    <xdr:pic>
      <xdr:nvPicPr>
        <xdr:cNvPr id="3" name="Imagem 2" descr="Prefeitura Municipal de São Cristóvão - SE">
          <a:extLst>
            <a:ext uri="{FF2B5EF4-FFF2-40B4-BE49-F238E27FC236}">
              <a16:creationId xmlns:a16="http://schemas.microsoft.com/office/drawing/2014/main" id="{42F83B6B-01A7-493E-A499-AB7F609CE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8705" y="137160"/>
          <a:ext cx="1593199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173876</xdr:colOff>
      <xdr:row>0</xdr:row>
      <xdr:rowOff>67236</xdr:rowOff>
    </xdr:from>
    <xdr:to>
      <xdr:col>3</xdr:col>
      <xdr:colOff>1094519</xdr:colOff>
      <xdr:row>3</xdr:row>
      <xdr:rowOff>313765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C82247-57F0-4F99-B44B-A001A631A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2288" y="67236"/>
          <a:ext cx="920643" cy="71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emerson/Meus%20documentos/Planilha/Cron%20Basico%20e%20H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us%20documentos\Gerencia%20Obra\DNER\Ic&#243;\Pato%20BR%20116%20Ic&#243;%20para%20licitaca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BRA/AppData/Local/Microsoft/Windows/INetCache/Content.Outlook/1H6OGOLK/Planejado%20x%20Realizado%20-%20SES%20PRAZERES%202%20(9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OBRA/AppData/Local/Microsoft/Windows/INetCache/Content.Outlook/XX3DVW86/PRZ/Acompanhamento%20e%20Planejamento/Relat&#243;rios%20de%20Custo/03.%20EAPMETAFSICA-SES%20PRAZERES_VER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gusta\Atp\Documents%20and%20Settings\Renato\Desktop\Pre&#231;os%20Revisados-OAE-SEPLANE-(25-11-04)-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:/Comercial/EXCEL/ARQUIVOS/0901_1000/TESTE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na.cruz\Desktop\BM%2007%20-%20ADT%20-%20RODOVIA%20DOS%20TRABALHDORES.xlsx" TargetMode="External"/><Relationship Id="rId1" Type="http://schemas.openxmlformats.org/officeDocument/2006/relationships/externalLinkPath" Target="BM%2007%20-%20ADT%20-%20RODOVIA%20DOS%20TRABALH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n Bas 2.10"/>
      <sheetName val="Plan2.7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por serv princ"/>
      <sheetName val="Orçamento"/>
      <sheetName val="PATO"/>
      <sheetName val="Transp basc 5m3"/>
      <sheetName val="Transp carroceria"/>
      <sheetName val="Transp carroceria com"/>
      <sheetName val="Transp Mat. para Remendos"/>
      <sheetName val="Consumo e Tansp. mat. bet."/>
      <sheetName val="CRONOGRAMA"/>
      <sheetName val="Gráfico"/>
      <sheetName val="02.510.01"/>
      <sheetName val="02.511.01"/>
      <sheetName val="02.530.01"/>
      <sheetName val="03.329.00"/>
      <sheetName val="08.404.00"/>
      <sheetName val="E412"/>
      <sheetName val="Simulação"/>
      <sheetName val="dez00"/>
      <sheetName val="Mão de Obra"/>
      <sheetName val="Material"/>
      <sheetName val="EQUIPAMENTO"/>
      <sheetName val="Consumo e Tansp. mat. bet.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F1">
            <v>36861</v>
          </cell>
        </row>
        <row r="3">
          <cell r="A3" t="str">
            <v>1 A 01 170 02</v>
          </cell>
          <cell r="B3" t="str">
            <v>Areia extraída com trator e carregadeira</v>
          </cell>
          <cell r="C3" t="str">
            <v>m3</v>
          </cell>
          <cell r="D3">
            <v>2.63</v>
          </cell>
          <cell r="E3">
            <v>0</v>
          </cell>
          <cell r="F3">
            <v>2.63</v>
          </cell>
        </row>
        <row r="4">
          <cell r="A4" t="str">
            <v>3 S 01 200 00</v>
          </cell>
          <cell r="B4" t="str">
            <v>Escavação e carga mat. jazida (consv)</v>
          </cell>
          <cell r="C4" t="str">
            <v>m3</v>
          </cell>
          <cell r="D4">
            <v>3.59</v>
          </cell>
          <cell r="E4">
            <v>1.17</v>
          </cell>
          <cell r="F4">
            <v>4.76</v>
          </cell>
        </row>
        <row r="5">
          <cell r="A5" t="str">
            <v>3 S 01 401 00</v>
          </cell>
          <cell r="B5" t="str">
            <v>Recomposição de revestimento primário</v>
          </cell>
          <cell r="C5" t="str">
            <v>m3</v>
          </cell>
          <cell r="D5">
            <v>5.37</v>
          </cell>
          <cell r="E5">
            <v>1.75</v>
          </cell>
          <cell r="F5">
            <v>7.12</v>
          </cell>
        </row>
        <row r="6">
          <cell r="A6" t="str">
            <v>3 S 01 930 00</v>
          </cell>
          <cell r="B6" t="str">
            <v>Regularização mecânica da faixa de domínio</v>
          </cell>
          <cell r="C6" t="str">
            <v>m2</v>
          </cell>
          <cell r="D6">
            <v>0.08</v>
          </cell>
          <cell r="E6">
            <v>0.02</v>
          </cell>
          <cell r="F6">
            <v>0.11</v>
          </cell>
        </row>
        <row r="7">
          <cell r="A7" t="str">
            <v>3 S 02 200 00</v>
          </cell>
          <cell r="B7" t="str">
            <v>Solo p/ base de remendo profundo</v>
          </cell>
          <cell r="C7" t="str">
            <v>m3</v>
          </cell>
          <cell r="D7">
            <v>4.13</v>
          </cell>
          <cell r="E7">
            <v>1.34</v>
          </cell>
          <cell r="F7">
            <v>5.48</v>
          </cell>
        </row>
        <row r="8">
          <cell r="A8" t="str">
            <v>3 S 02 200 01</v>
          </cell>
          <cell r="B8" t="str">
            <v>Recomposição de camada granular do pavimento</v>
          </cell>
          <cell r="C8" t="str">
            <v>m3</v>
          </cell>
          <cell r="D8">
            <v>6.28</v>
          </cell>
          <cell r="E8">
            <v>2.04</v>
          </cell>
          <cell r="F8">
            <v>8.33</v>
          </cell>
        </row>
        <row r="9">
          <cell r="A9" t="str">
            <v>3 S 02 220 00</v>
          </cell>
          <cell r="B9" t="str">
            <v>Solo brita p/ base de rem. profundo</v>
          </cell>
          <cell r="C9" t="str">
            <v>m3</v>
          </cell>
          <cell r="D9">
            <v>9.9600000000000009</v>
          </cell>
          <cell r="E9">
            <v>3.24</v>
          </cell>
          <cell r="F9">
            <v>13.21</v>
          </cell>
        </row>
        <row r="10">
          <cell r="A10" t="str">
            <v>3 S 02 230 00</v>
          </cell>
          <cell r="B10" t="str">
            <v>Brita para base de remendo profundo</v>
          </cell>
          <cell r="C10" t="str">
            <v>m3</v>
          </cell>
          <cell r="D10">
            <v>22.27</v>
          </cell>
          <cell r="E10">
            <v>7.24</v>
          </cell>
          <cell r="F10">
            <v>29.51</v>
          </cell>
        </row>
        <row r="11">
          <cell r="A11" t="str">
            <v>3 S 02 241 00</v>
          </cell>
          <cell r="B11" t="str">
            <v>Solo melhorado c/ cimento p/ base rem. profundo</v>
          </cell>
          <cell r="C11" t="str">
            <v>m3</v>
          </cell>
          <cell r="D11">
            <v>16.32</v>
          </cell>
          <cell r="E11">
            <v>5.31</v>
          </cell>
          <cell r="F11">
            <v>21.64</v>
          </cell>
        </row>
        <row r="12">
          <cell r="A12" t="str">
            <v>3 S 02 300 00</v>
          </cell>
          <cell r="B12" t="str">
            <v>Imprimação</v>
          </cell>
          <cell r="C12" t="str">
            <v>m2</v>
          </cell>
          <cell r="D12">
            <v>0.06</v>
          </cell>
          <cell r="E12">
            <v>0.02</v>
          </cell>
          <cell r="F12">
            <v>0.09</v>
          </cell>
        </row>
        <row r="13">
          <cell r="A13" t="str">
            <v>3 S 02 400 00</v>
          </cell>
          <cell r="B13" t="str">
            <v>Pintura de ligação</v>
          </cell>
          <cell r="C13" t="str">
            <v>m2</v>
          </cell>
          <cell r="D13">
            <v>0.04</v>
          </cell>
          <cell r="E13">
            <v>0.01</v>
          </cell>
          <cell r="F13">
            <v>0.06</v>
          </cell>
        </row>
        <row r="14">
          <cell r="A14" t="str">
            <v>3 S 02 500 00</v>
          </cell>
          <cell r="B14" t="str">
            <v>Capa selante com pedrisco</v>
          </cell>
          <cell r="C14" t="str">
            <v>m2</v>
          </cell>
          <cell r="D14">
            <v>0.19</v>
          </cell>
          <cell r="E14">
            <v>0.06</v>
          </cell>
          <cell r="F14">
            <v>0.25</v>
          </cell>
        </row>
        <row r="15">
          <cell r="A15" t="str">
            <v>3 S 02 500 01</v>
          </cell>
          <cell r="B15" t="str">
            <v>Capa selante com areia</v>
          </cell>
          <cell r="C15" t="str">
            <v>m2</v>
          </cell>
          <cell r="D15">
            <v>0.1</v>
          </cell>
          <cell r="E15">
            <v>0.03</v>
          </cell>
          <cell r="F15">
            <v>0.13</v>
          </cell>
        </row>
        <row r="16">
          <cell r="A16" t="str">
            <v>3 S 02 500 02</v>
          </cell>
          <cell r="B16" t="str">
            <v>Tratamento superficial simples com CAP</v>
          </cell>
          <cell r="C16" t="str">
            <v>m2</v>
          </cell>
          <cell r="D16">
            <v>0.27</v>
          </cell>
          <cell r="E16">
            <v>0.08</v>
          </cell>
          <cell r="F16">
            <v>0.36</v>
          </cell>
        </row>
        <row r="17">
          <cell r="A17" t="str">
            <v>3 S 02 500 03</v>
          </cell>
          <cell r="B17" t="str">
            <v>Tratamento superficial simples com emulsão</v>
          </cell>
          <cell r="C17" t="str">
            <v>m2</v>
          </cell>
          <cell r="D17">
            <v>0.25</v>
          </cell>
          <cell r="E17">
            <v>0.08</v>
          </cell>
          <cell r="F17">
            <v>0.34</v>
          </cell>
        </row>
        <row r="18">
          <cell r="A18" t="str">
            <v>3 S 02 500 04</v>
          </cell>
          <cell r="B18" t="str">
            <v>Tratamento superficial simples c/ banho diluído</v>
          </cell>
          <cell r="C18" t="str">
            <v>m2</v>
          </cell>
          <cell r="D18">
            <v>0.28000000000000003</v>
          </cell>
          <cell r="E18">
            <v>0.09</v>
          </cell>
          <cell r="F18">
            <v>0.38</v>
          </cell>
        </row>
        <row r="19">
          <cell r="A19" t="str">
            <v>3 S 02 501 00</v>
          </cell>
          <cell r="B19" t="str">
            <v>Tratamento superficial duplo c/ CAP</v>
          </cell>
          <cell r="C19" t="str">
            <v>m2</v>
          </cell>
          <cell r="D19">
            <v>0.81</v>
          </cell>
          <cell r="E19">
            <v>0.26</v>
          </cell>
          <cell r="F19">
            <v>1.08</v>
          </cell>
        </row>
        <row r="20">
          <cell r="A20" t="str">
            <v>3 S 02 501 01</v>
          </cell>
          <cell r="B20" t="str">
            <v>Tratamento superficial duplo com emulsão</v>
          </cell>
          <cell r="C20" t="str">
            <v>m2</v>
          </cell>
          <cell r="D20">
            <v>0.81</v>
          </cell>
          <cell r="E20">
            <v>0.26</v>
          </cell>
          <cell r="F20">
            <v>1.07</v>
          </cell>
        </row>
        <row r="21">
          <cell r="A21" t="str">
            <v>3 S 02 501 02</v>
          </cell>
          <cell r="B21" t="str">
            <v>Tratamento superficial duplo com banho diluído</v>
          </cell>
          <cell r="C21" t="str">
            <v>m2</v>
          </cell>
          <cell r="D21">
            <v>0.87</v>
          </cell>
          <cell r="E21">
            <v>0.28000000000000003</v>
          </cell>
          <cell r="F21">
            <v>1.1599999999999999</v>
          </cell>
        </row>
        <row r="22">
          <cell r="A22" t="str">
            <v>3 S 02 502 00</v>
          </cell>
          <cell r="B22" t="str">
            <v>Tratamento superficial triplo com CAP</v>
          </cell>
          <cell r="C22" t="str">
            <v>m2</v>
          </cell>
          <cell r="D22">
            <v>1.1499999999999999</v>
          </cell>
          <cell r="E22">
            <v>0.37</v>
          </cell>
          <cell r="F22">
            <v>1.53</v>
          </cell>
        </row>
        <row r="23">
          <cell r="A23" t="str">
            <v>3 S 02 502 01</v>
          </cell>
          <cell r="B23" t="str">
            <v>Tratamento superficial triplo com emulsão</v>
          </cell>
          <cell r="C23" t="str">
            <v>m2</v>
          </cell>
          <cell r="D23">
            <v>1.17</v>
          </cell>
          <cell r="E23">
            <v>0.38</v>
          </cell>
          <cell r="F23">
            <v>1.55</v>
          </cell>
        </row>
        <row r="24">
          <cell r="A24" t="str">
            <v>3 S 02 502 02</v>
          </cell>
          <cell r="B24" t="str">
            <v>Tratamento superficial triplo com banho diluído</v>
          </cell>
          <cell r="C24" t="str">
            <v>m2</v>
          </cell>
          <cell r="D24">
            <v>1.24</v>
          </cell>
          <cell r="E24">
            <v>0.4</v>
          </cell>
          <cell r="F24">
            <v>1.65</v>
          </cell>
        </row>
        <row r="25">
          <cell r="A25" t="str">
            <v>3 S 02 510 00</v>
          </cell>
          <cell r="B25" t="str">
            <v>Lama asfáltica fina (granulometrias I e II )</v>
          </cell>
          <cell r="C25" t="str">
            <v>m2</v>
          </cell>
          <cell r="D25">
            <v>0.28000000000000003</v>
          </cell>
          <cell r="E25">
            <v>0.09</v>
          </cell>
          <cell r="F25">
            <v>0.37</v>
          </cell>
        </row>
        <row r="26">
          <cell r="A26" t="str">
            <v>3 S 02 510 01</v>
          </cell>
          <cell r="B26" t="str">
            <v>Lama asfáltica grossa (granulometrias III e IV)</v>
          </cell>
          <cell r="C26" t="str">
            <v>m2</v>
          </cell>
          <cell r="D26">
            <v>0.5</v>
          </cell>
          <cell r="E26">
            <v>0.16</v>
          </cell>
          <cell r="F26">
            <v>0.67</v>
          </cell>
        </row>
        <row r="27">
          <cell r="A27" t="str">
            <v>3 S 02 520 00</v>
          </cell>
          <cell r="B27" t="str">
            <v>Mistura areia-asfalto em betoneira</v>
          </cell>
          <cell r="C27" t="str">
            <v>m3</v>
          </cell>
          <cell r="D27">
            <v>14.69</v>
          </cell>
          <cell r="E27">
            <v>4.78</v>
          </cell>
          <cell r="F27">
            <v>19.47</v>
          </cell>
        </row>
        <row r="28">
          <cell r="A28" t="str">
            <v>3 S 02 520 01</v>
          </cell>
          <cell r="B28" t="str">
            <v>Mistura areia-asfalto usinada a frio</v>
          </cell>
          <cell r="C28" t="str">
            <v>m3</v>
          </cell>
          <cell r="D28">
            <v>9.6</v>
          </cell>
          <cell r="E28">
            <v>3.12</v>
          </cell>
          <cell r="F28">
            <v>12.72</v>
          </cell>
        </row>
        <row r="29">
          <cell r="A29" t="str">
            <v>3 S 02 520 02</v>
          </cell>
          <cell r="B29" t="str">
            <v>Rec.do rev. com areia asfalto a frio</v>
          </cell>
          <cell r="C29" t="str">
            <v>m3</v>
          </cell>
          <cell r="D29">
            <v>11.17</v>
          </cell>
          <cell r="E29">
            <v>3.63</v>
          </cell>
          <cell r="F29">
            <v>14.8</v>
          </cell>
        </row>
        <row r="30">
          <cell r="A30" t="str">
            <v>3 S 02 521 00</v>
          </cell>
          <cell r="B30" t="str">
            <v>Mistura areia-asfalto usinada a quente</v>
          </cell>
          <cell r="C30" t="str">
            <v>m3</v>
          </cell>
          <cell r="D30">
            <v>27.74</v>
          </cell>
          <cell r="E30">
            <v>9.02</v>
          </cell>
          <cell r="F30">
            <v>36.770000000000003</v>
          </cell>
        </row>
        <row r="31">
          <cell r="A31" t="str">
            <v>3 S 02 521 01</v>
          </cell>
          <cell r="B31" t="str">
            <v>Rec. do rev. com areia asfalto a quente</v>
          </cell>
          <cell r="C31" t="str">
            <v>m3</v>
          </cell>
          <cell r="D31">
            <v>7.67</v>
          </cell>
          <cell r="E31">
            <v>2.4900000000000002</v>
          </cell>
          <cell r="F31">
            <v>10.16</v>
          </cell>
        </row>
        <row r="32">
          <cell r="A32" t="str">
            <v>3 S 02 530 00</v>
          </cell>
          <cell r="B32" t="str">
            <v>Mistura betuminosa em betoneira</v>
          </cell>
          <cell r="C32" t="str">
            <v>m3</v>
          </cell>
          <cell r="D32">
            <v>21.48</v>
          </cell>
          <cell r="E32">
            <v>6.99</v>
          </cell>
          <cell r="F32">
            <v>28.47</v>
          </cell>
        </row>
        <row r="33">
          <cell r="A33" t="str">
            <v>3 S 02 530 01</v>
          </cell>
          <cell r="B33" t="str">
            <v>Mistura betuminosa usinada a frio</v>
          </cell>
          <cell r="C33" t="str">
            <v>m3</v>
          </cell>
          <cell r="D33">
            <v>20.29</v>
          </cell>
          <cell r="E33">
            <v>6.6</v>
          </cell>
          <cell r="F33">
            <v>26.89</v>
          </cell>
        </row>
        <row r="34">
          <cell r="A34" t="str">
            <v>3 S 02 530 02</v>
          </cell>
          <cell r="B34" t="str">
            <v>Rec.do rev. com mistura betuminosa a frio</v>
          </cell>
          <cell r="C34" t="str">
            <v>m3</v>
          </cell>
          <cell r="D34">
            <v>12.63</v>
          </cell>
          <cell r="E34">
            <v>4.1100000000000003</v>
          </cell>
          <cell r="F34">
            <v>16.739999999999998</v>
          </cell>
        </row>
        <row r="35">
          <cell r="A35" t="str">
            <v>3 S 02 540 00</v>
          </cell>
          <cell r="B35" t="str">
            <v>Mistura betuminosa usinada a quente</v>
          </cell>
          <cell r="C35" t="str">
            <v>m3</v>
          </cell>
          <cell r="D35">
            <v>42.89</v>
          </cell>
          <cell r="E35">
            <v>13.96</v>
          </cell>
          <cell r="F35">
            <v>56.85</v>
          </cell>
        </row>
        <row r="36">
          <cell r="A36" t="str">
            <v>3 S 02 540 01</v>
          </cell>
          <cell r="B36" t="str">
            <v>Rec.do rev.com mistura betuminosa a quente</v>
          </cell>
          <cell r="C36" t="str">
            <v>m3</v>
          </cell>
          <cell r="D36">
            <v>8.8699999999999992</v>
          </cell>
          <cell r="E36">
            <v>2.88</v>
          </cell>
          <cell r="F36">
            <v>11.76</v>
          </cell>
        </row>
        <row r="37">
          <cell r="A37" t="str">
            <v>3 S 02 601 00</v>
          </cell>
          <cell r="B37" t="str">
            <v>Recomposição de placa de concreto</v>
          </cell>
          <cell r="C37" t="str">
            <v>m3</v>
          </cell>
          <cell r="D37">
            <v>102.55</v>
          </cell>
          <cell r="E37">
            <v>33.380000000000003</v>
          </cell>
          <cell r="F37">
            <v>135.94</v>
          </cell>
        </row>
        <row r="38">
          <cell r="A38" t="str">
            <v>3 S 02 900 00</v>
          </cell>
          <cell r="B38" t="str">
            <v>Remoção mecanizada de revestimento betuminoso</v>
          </cell>
          <cell r="C38" t="str">
            <v>m3</v>
          </cell>
          <cell r="D38">
            <v>2.95</v>
          </cell>
          <cell r="E38">
            <v>0.96</v>
          </cell>
          <cell r="F38">
            <v>3.92</v>
          </cell>
        </row>
        <row r="39">
          <cell r="A39" t="str">
            <v>3 S 02 901 00</v>
          </cell>
          <cell r="B39" t="str">
            <v>Remoção manual de revestimento betuminoso</v>
          </cell>
          <cell r="C39" t="str">
            <v>m3</v>
          </cell>
          <cell r="D39">
            <v>47.07</v>
          </cell>
          <cell r="E39">
            <v>15.32</v>
          </cell>
          <cell r="F39">
            <v>62.39</v>
          </cell>
        </row>
        <row r="40">
          <cell r="A40" t="str">
            <v>3 S 02 902 00</v>
          </cell>
          <cell r="B40" t="str">
            <v>Remoção mecanizada da camada granular do pavimento</v>
          </cell>
          <cell r="C40" t="str">
            <v>m3</v>
          </cell>
          <cell r="D40">
            <v>1.9</v>
          </cell>
          <cell r="E40">
            <v>0.61</v>
          </cell>
          <cell r="F40">
            <v>2.52</v>
          </cell>
        </row>
        <row r="41">
          <cell r="A41" t="str">
            <v>3 S 02 903 00</v>
          </cell>
          <cell r="B41" t="str">
            <v>Remoção manual da camada granular do pavimento</v>
          </cell>
          <cell r="C41" t="str">
            <v>m3</v>
          </cell>
          <cell r="D41">
            <v>25.09</v>
          </cell>
          <cell r="E41">
            <v>8.16</v>
          </cell>
          <cell r="F41">
            <v>33.25</v>
          </cell>
        </row>
        <row r="42">
          <cell r="A42" t="str">
            <v>3 S 02 999 00</v>
          </cell>
          <cell r="B42" t="str">
            <v>Peneiramento</v>
          </cell>
          <cell r="C42" t="str">
            <v>m3</v>
          </cell>
          <cell r="D42">
            <v>3.03</v>
          </cell>
          <cell r="E42">
            <v>0.98</v>
          </cell>
          <cell r="F42">
            <v>4.0199999999999996</v>
          </cell>
        </row>
        <row r="43">
          <cell r="A43" t="str">
            <v>3 S 03 310 00</v>
          </cell>
          <cell r="B43" t="str">
            <v>Concreto ciclópico</v>
          </cell>
          <cell r="C43" t="str">
            <v>m3</v>
          </cell>
          <cell r="D43">
            <v>78.209999999999994</v>
          </cell>
          <cell r="E43">
            <v>25.45</v>
          </cell>
          <cell r="F43">
            <v>103.67</v>
          </cell>
        </row>
        <row r="44">
          <cell r="A44" t="str">
            <v>3 S 03 329 00</v>
          </cell>
          <cell r="B44" t="str">
            <v>Concreto de cimento (confecção e lançamento)</v>
          </cell>
          <cell r="C44" t="str">
            <v>m3</v>
          </cell>
          <cell r="D44">
            <v>96.73</v>
          </cell>
          <cell r="E44">
            <v>31.48</v>
          </cell>
          <cell r="F44">
            <v>128.21</v>
          </cell>
        </row>
        <row r="45">
          <cell r="A45" t="str">
            <v>3 S 03 329 01</v>
          </cell>
          <cell r="B45" t="str">
            <v>Concreto de cimento(confecção manual e lançamento)</v>
          </cell>
          <cell r="C45" t="str">
            <v>m3</v>
          </cell>
          <cell r="D45">
            <v>112.94</v>
          </cell>
          <cell r="E45">
            <v>36.76</v>
          </cell>
          <cell r="F45">
            <v>149.69999999999999</v>
          </cell>
        </row>
        <row r="46">
          <cell r="A46" t="str">
            <v>3 S 03 340 02</v>
          </cell>
          <cell r="B46" t="str">
            <v>Argamassa cimento areia 1-6</v>
          </cell>
          <cell r="C46" t="str">
            <v>m3</v>
          </cell>
          <cell r="D46">
            <v>81.86</v>
          </cell>
          <cell r="E46">
            <v>26.64</v>
          </cell>
          <cell r="F46">
            <v>108.51</v>
          </cell>
        </row>
        <row r="47">
          <cell r="A47" t="str">
            <v>3 S 03 340 03</v>
          </cell>
          <cell r="B47" t="str">
            <v>Argamassa cimento solo 1:10</v>
          </cell>
          <cell r="C47" t="str">
            <v>m3</v>
          </cell>
          <cell r="D47">
            <v>53.21</v>
          </cell>
          <cell r="E47">
            <v>17.32</v>
          </cell>
          <cell r="F47">
            <v>70.53</v>
          </cell>
        </row>
        <row r="48">
          <cell r="A48" t="str">
            <v>3 S 03 353 00</v>
          </cell>
          <cell r="B48" t="str">
            <v>Dobragem e colocação de armadura</v>
          </cell>
          <cell r="C48" t="str">
            <v>kg</v>
          </cell>
          <cell r="D48">
            <v>1.68</v>
          </cell>
          <cell r="E48">
            <v>0.54</v>
          </cell>
          <cell r="F48">
            <v>2.23</v>
          </cell>
        </row>
        <row r="49">
          <cell r="A49" t="str">
            <v>3 S 03 370 00</v>
          </cell>
          <cell r="B49" t="str">
            <v>Forma comum de madeira</v>
          </cell>
          <cell r="C49" t="str">
            <v>m2</v>
          </cell>
          <cell r="D49">
            <v>17.96</v>
          </cell>
          <cell r="E49">
            <v>5.84</v>
          </cell>
          <cell r="F49">
            <v>23.81</v>
          </cell>
        </row>
        <row r="50">
          <cell r="A50" t="str">
            <v>3 S 03 940 01</v>
          </cell>
          <cell r="B50" t="str">
            <v>Reaterro e compactação p/ bueiro</v>
          </cell>
          <cell r="C50" t="str">
            <v>m3</v>
          </cell>
          <cell r="D50">
            <v>6.99</v>
          </cell>
          <cell r="E50">
            <v>2.27</v>
          </cell>
          <cell r="F50">
            <v>9.26</v>
          </cell>
        </row>
        <row r="51">
          <cell r="A51" t="str">
            <v>3 S 03 940 02</v>
          </cell>
          <cell r="B51" t="str">
            <v>Reaterro apiloado</v>
          </cell>
          <cell r="C51" t="str">
            <v>m3</v>
          </cell>
          <cell r="D51">
            <v>4.46</v>
          </cell>
          <cell r="E51">
            <v>1.45</v>
          </cell>
          <cell r="F51">
            <v>5.92</v>
          </cell>
        </row>
        <row r="52">
          <cell r="A52" t="str">
            <v>3 S 03 950 00</v>
          </cell>
          <cell r="B52" t="str">
            <v>Limpeza de ponte</v>
          </cell>
          <cell r="C52" t="str">
            <v>m</v>
          </cell>
          <cell r="D52">
            <v>1.1299999999999999</v>
          </cell>
          <cell r="E52">
            <v>0.37</v>
          </cell>
          <cell r="F52">
            <v>1.5</v>
          </cell>
        </row>
        <row r="53">
          <cell r="A53" t="str">
            <v>3 S 04 000 00</v>
          </cell>
          <cell r="B53" t="str">
            <v>Escavação manual em material de 1a categoria</v>
          </cell>
          <cell r="C53" t="str">
            <v>m3</v>
          </cell>
          <cell r="D53">
            <v>8.07</v>
          </cell>
          <cell r="E53">
            <v>2.62</v>
          </cell>
          <cell r="F53">
            <v>10.7</v>
          </cell>
        </row>
        <row r="54">
          <cell r="A54" t="str">
            <v>3 S 04 000 01</v>
          </cell>
          <cell r="B54" t="str">
            <v>Escavação manual em material de 2a categoria</v>
          </cell>
          <cell r="C54" t="str">
            <v>m3</v>
          </cell>
          <cell r="D54">
            <v>10.76</v>
          </cell>
          <cell r="E54">
            <v>3.5</v>
          </cell>
          <cell r="F54">
            <v>14.26</v>
          </cell>
        </row>
        <row r="55">
          <cell r="A55" t="str">
            <v>3 S 04 001 00</v>
          </cell>
          <cell r="B55" t="str">
            <v>Escavação mecaniz. de vala em mater. de 1a cat.</v>
          </cell>
          <cell r="C55" t="str">
            <v>m3</v>
          </cell>
          <cell r="D55">
            <v>2.37</v>
          </cell>
          <cell r="E55">
            <v>0.77</v>
          </cell>
          <cell r="F55">
            <v>3.14</v>
          </cell>
        </row>
        <row r="56">
          <cell r="A56" t="str">
            <v>3 S 04 010 00</v>
          </cell>
          <cell r="B56" t="str">
            <v>Escavação mecaniz.de vala em material de 2a cat.</v>
          </cell>
          <cell r="C56" t="str">
            <v>m3</v>
          </cell>
          <cell r="D56">
            <v>2.96</v>
          </cell>
          <cell r="E56">
            <v>0.96</v>
          </cell>
          <cell r="F56">
            <v>3.93</v>
          </cell>
        </row>
        <row r="57">
          <cell r="A57" t="str">
            <v>3 S 04 020 00</v>
          </cell>
          <cell r="B57" t="str">
            <v>Escavação e carga de material de 3a cat. em valas</v>
          </cell>
          <cell r="C57" t="str">
            <v>m3</v>
          </cell>
          <cell r="D57">
            <v>22.81</v>
          </cell>
          <cell r="E57">
            <v>7.42</v>
          </cell>
          <cell r="F57">
            <v>30.24</v>
          </cell>
        </row>
        <row r="58">
          <cell r="A58" t="str">
            <v>3 S 04 300 16</v>
          </cell>
          <cell r="B58" t="str">
            <v>Bueiro met. chapa múltipla D=1,60m galv.</v>
          </cell>
          <cell r="C58" t="str">
            <v>m</v>
          </cell>
          <cell r="D58">
            <v>1077.76</v>
          </cell>
          <cell r="E58">
            <v>350.81</v>
          </cell>
          <cell r="F58">
            <v>1428.58</v>
          </cell>
        </row>
        <row r="59">
          <cell r="A59" t="str">
            <v>3 S 04 300 20</v>
          </cell>
          <cell r="B59" t="str">
            <v>Bueiro met. chapa múltipla D=2,00m galv.</v>
          </cell>
          <cell r="C59" t="str">
            <v>m</v>
          </cell>
          <cell r="D59">
            <v>1350.4</v>
          </cell>
          <cell r="E59">
            <v>439.55</v>
          </cell>
          <cell r="F59">
            <v>1789.96</v>
          </cell>
        </row>
        <row r="60">
          <cell r="A60" t="str">
            <v>3 S 04 301 16</v>
          </cell>
          <cell r="B60" t="str">
            <v>Bueiro met.chapas múlt. D=1,60 m rev. epoxy</v>
          </cell>
          <cell r="C60" t="str">
            <v>m</v>
          </cell>
          <cell r="D60">
            <v>1157.76</v>
          </cell>
          <cell r="E60">
            <v>376.85</v>
          </cell>
          <cell r="F60">
            <v>1534.62</v>
          </cell>
        </row>
        <row r="61">
          <cell r="A61" t="str">
            <v>3 S 04 301 20</v>
          </cell>
          <cell r="B61" t="str">
            <v>Bueiro met. chapas múlt. D=2,00 m rev. epoxy</v>
          </cell>
          <cell r="C61" t="str">
            <v>m</v>
          </cell>
          <cell r="D61">
            <v>1450.4</v>
          </cell>
          <cell r="E61">
            <v>472.1</v>
          </cell>
          <cell r="F61">
            <v>1922.51</v>
          </cell>
        </row>
        <row r="62">
          <cell r="A62" t="str">
            <v>3 S 04 310 16</v>
          </cell>
          <cell r="B62" t="str">
            <v>Bueiro met. s/interrupção tráf. D=1,60 m galv.</v>
          </cell>
          <cell r="C62" t="str">
            <v>m</v>
          </cell>
          <cell r="D62">
            <v>922.74</v>
          </cell>
          <cell r="E62">
            <v>300.35000000000002</v>
          </cell>
          <cell r="F62">
            <v>1223.0999999999999</v>
          </cell>
        </row>
        <row r="63">
          <cell r="A63" t="str">
            <v>3 S 04 310 20</v>
          </cell>
          <cell r="B63" t="str">
            <v>Bueiro met. s/interrupção tráf. D=2,00 m galv.</v>
          </cell>
          <cell r="C63" t="str">
            <v>m</v>
          </cell>
          <cell r="D63">
            <v>1146.29</v>
          </cell>
          <cell r="E63">
            <v>373.11</v>
          </cell>
          <cell r="F63">
            <v>1519.4</v>
          </cell>
        </row>
        <row r="64">
          <cell r="A64" t="str">
            <v>3 S 04 311 16</v>
          </cell>
          <cell r="B64" t="str">
            <v>Bueiro met.s/interrupção tráf. D=1,60 m rev. epoxy</v>
          </cell>
          <cell r="C64" t="str">
            <v>m</v>
          </cell>
          <cell r="D64">
            <v>1388.54</v>
          </cell>
          <cell r="E64">
            <v>451.97</v>
          </cell>
          <cell r="F64">
            <v>1840.52</v>
          </cell>
        </row>
        <row r="65">
          <cell r="A65" t="str">
            <v>3 S 04 311 20</v>
          </cell>
          <cell r="B65" t="str">
            <v>Bueiro met.s/interrupção tráf. D=2,00 m rev. epoxy</v>
          </cell>
          <cell r="C65" t="str">
            <v>m</v>
          </cell>
          <cell r="D65">
            <v>1227.29</v>
          </cell>
          <cell r="E65">
            <v>399.48</v>
          </cell>
          <cell r="F65">
            <v>1626.77</v>
          </cell>
        </row>
        <row r="66">
          <cell r="A66" t="str">
            <v>3 S 04 590 00</v>
          </cell>
          <cell r="B66" t="str">
            <v>Assentamento de dreno profundo</v>
          </cell>
          <cell r="C66" t="str">
            <v>m</v>
          </cell>
          <cell r="D66">
            <v>18.61</v>
          </cell>
          <cell r="E66">
            <v>6.06</v>
          </cell>
          <cell r="F66">
            <v>24.67</v>
          </cell>
        </row>
        <row r="67">
          <cell r="A67" t="str">
            <v>3 S 04 999 08</v>
          </cell>
          <cell r="B67" t="str">
            <v>Selo de argila apiloado com solo local</v>
          </cell>
          <cell r="C67" t="str">
            <v>m3</v>
          </cell>
          <cell r="D67">
            <v>4.46</v>
          </cell>
          <cell r="E67">
            <v>1.45</v>
          </cell>
          <cell r="F67">
            <v>5.92</v>
          </cell>
        </row>
        <row r="68">
          <cell r="A68" t="str">
            <v>3 S 05 000 00</v>
          </cell>
          <cell r="B68" t="str">
            <v>Enrocamento de pedra arrumada</v>
          </cell>
          <cell r="C68" t="str">
            <v>m3</v>
          </cell>
          <cell r="D68">
            <v>32.64</v>
          </cell>
          <cell r="E68">
            <v>10.62</v>
          </cell>
          <cell r="F68">
            <v>43.27</v>
          </cell>
        </row>
        <row r="69">
          <cell r="A69" t="str">
            <v>3 S 05 001 00</v>
          </cell>
          <cell r="B69" t="str">
            <v>Enrocamento de pedra jogada</v>
          </cell>
          <cell r="C69" t="str">
            <v>m3</v>
          </cell>
          <cell r="D69">
            <v>21.93</v>
          </cell>
          <cell r="E69">
            <v>7.13</v>
          </cell>
          <cell r="F69">
            <v>29.07</v>
          </cell>
        </row>
        <row r="70">
          <cell r="A70" t="str">
            <v>3 S 05 101 01</v>
          </cell>
          <cell r="B70" t="str">
            <v>Revestimento vegetal com mudas</v>
          </cell>
          <cell r="C70" t="str">
            <v>m2</v>
          </cell>
          <cell r="D70">
            <v>1.51</v>
          </cell>
          <cell r="E70">
            <v>0.49</v>
          </cell>
          <cell r="F70">
            <v>2.0099999999999998</v>
          </cell>
        </row>
        <row r="71">
          <cell r="A71" t="str">
            <v>3 S 05 101 02</v>
          </cell>
          <cell r="B71" t="str">
            <v>Revestimento vegetal com grama em leivas</v>
          </cell>
          <cell r="C71" t="str">
            <v>m2</v>
          </cell>
          <cell r="D71">
            <v>1.62</v>
          </cell>
          <cell r="E71">
            <v>0.53</v>
          </cell>
          <cell r="F71">
            <v>2.15</v>
          </cell>
        </row>
        <row r="72">
          <cell r="A72" t="str">
            <v>3 S 08 001 00</v>
          </cell>
          <cell r="B72" t="str">
            <v>Reconformação da plataforma</v>
          </cell>
          <cell r="C72" t="str">
            <v>ha</v>
          </cell>
          <cell r="D72">
            <v>55.22</v>
          </cell>
          <cell r="E72">
            <v>17.97</v>
          </cell>
          <cell r="F72">
            <v>73.19</v>
          </cell>
        </row>
        <row r="73">
          <cell r="A73" t="str">
            <v>3 S 08 100 00</v>
          </cell>
          <cell r="B73" t="str">
            <v>Tapa buraco</v>
          </cell>
          <cell r="C73" t="str">
            <v>m3</v>
          </cell>
          <cell r="D73">
            <v>49.27</v>
          </cell>
          <cell r="E73">
            <v>16.04</v>
          </cell>
          <cell r="F73">
            <v>65.31</v>
          </cell>
        </row>
        <row r="74">
          <cell r="A74" t="str">
            <v>3 S 08 101 01</v>
          </cell>
          <cell r="B74" t="str">
            <v>Remendo profundo com demolição manual</v>
          </cell>
          <cell r="C74" t="str">
            <v>m3</v>
          </cell>
          <cell r="D74">
            <v>57.84</v>
          </cell>
          <cell r="E74">
            <v>18.82</v>
          </cell>
          <cell r="F74">
            <v>76.67</v>
          </cell>
        </row>
        <row r="75">
          <cell r="A75" t="str">
            <v>3 S 08 101 02</v>
          </cell>
          <cell r="B75" t="str">
            <v>Remendo profundo com demolição mecanizada</v>
          </cell>
          <cell r="C75" t="str">
            <v>m3</v>
          </cell>
          <cell r="D75">
            <v>42.59</v>
          </cell>
          <cell r="E75">
            <v>13.86</v>
          </cell>
          <cell r="F75">
            <v>56.45</v>
          </cell>
        </row>
        <row r="76">
          <cell r="A76" t="str">
            <v>3 S 08 102 00</v>
          </cell>
          <cell r="B76" t="str">
            <v>Limpeza ench. juntas pav. concr. a quente (consv)</v>
          </cell>
          <cell r="C76" t="str">
            <v>m</v>
          </cell>
          <cell r="D76">
            <v>0.68</v>
          </cell>
          <cell r="E76">
            <v>0.22</v>
          </cell>
          <cell r="F76">
            <v>0.91</v>
          </cell>
        </row>
        <row r="77">
          <cell r="A77" t="str">
            <v>3 S 08 102 01</v>
          </cell>
          <cell r="B77" t="str">
            <v>Limpeza ench. juntas pav. concr. a frio (consv)</v>
          </cell>
          <cell r="C77" t="str">
            <v>m</v>
          </cell>
          <cell r="D77">
            <v>0.56999999999999995</v>
          </cell>
          <cell r="E77">
            <v>0.18</v>
          </cell>
          <cell r="F77">
            <v>0.76</v>
          </cell>
        </row>
        <row r="78">
          <cell r="A78" t="str">
            <v>3 S 08 103 00</v>
          </cell>
          <cell r="B78" t="str">
            <v>Selagem de trinca</v>
          </cell>
          <cell r="C78" t="str">
            <v>l</v>
          </cell>
          <cell r="D78">
            <v>0.43</v>
          </cell>
          <cell r="E78">
            <v>0.14000000000000001</v>
          </cell>
          <cell r="F78">
            <v>0.56999999999999995</v>
          </cell>
        </row>
        <row r="79">
          <cell r="A79" t="str">
            <v>3 S 08 104 01</v>
          </cell>
          <cell r="B79" t="str">
            <v>Combate à exsudação com areia</v>
          </cell>
          <cell r="C79" t="str">
            <v>m2</v>
          </cell>
          <cell r="D79">
            <v>0.15</v>
          </cell>
          <cell r="E79">
            <v>0.04</v>
          </cell>
          <cell r="F79">
            <v>0.2</v>
          </cell>
        </row>
        <row r="80">
          <cell r="A80" t="str">
            <v>3 S 08 104 02</v>
          </cell>
          <cell r="B80" t="str">
            <v>Combate à exsudação com pedrisco</v>
          </cell>
          <cell r="C80" t="str">
            <v>m2</v>
          </cell>
          <cell r="D80">
            <v>0.18</v>
          </cell>
          <cell r="E80">
            <v>0.06</v>
          </cell>
          <cell r="F80">
            <v>0.24</v>
          </cell>
        </row>
        <row r="81">
          <cell r="A81" t="str">
            <v>3 S 08 109 00</v>
          </cell>
          <cell r="B81" t="str">
            <v>Correção de defeitos com mistura betuminosa</v>
          </cell>
          <cell r="C81" t="str">
            <v>m3</v>
          </cell>
          <cell r="D81">
            <v>30.73</v>
          </cell>
          <cell r="E81">
            <v>10</v>
          </cell>
          <cell r="F81">
            <v>40.74</v>
          </cell>
        </row>
        <row r="82">
          <cell r="A82" t="str">
            <v>3 S 08 109 12</v>
          </cell>
          <cell r="B82" t="str">
            <v>Correção de defeitos por fresagem descontínua</v>
          </cell>
          <cell r="C82" t="str">
            <v>m3</v>
          </cell>
          <cell r="D82">
            <v>64.209999999999994</v>
          </cell>
          <cell r="E82">
            <v>20.9</v>
          </cell>
          <cell r="F82">
            <v>85.11</v>
          </cell>
        </row>
        <row r="83">
          <cell r="A83" t="str">
            <v>3 S 08 110 00</v>
          </cell>
          <cell r="B83" t="str">
            <v>Correção de defeitos por penetração</v>
          </cell>
          <cell r="C83" t="str">
            <v>m2</v>
          </cell>
          <cell r="D83">
            <v>3.4</v>
          </cell>
          <cell r="E83">
            <v>1.1000000000000001</v>
          </cell>
          <cell r="F83">
            <v>4.51</v>
          </cell>
        </row>
        <row r="84">
          <cell r="A84" t="str">
            <v>3 S 08 200 00</v>
          </cell>
          <cell r="B84" t="str">
            <v>Recomp. de guarda corpo</v>
          </cell>
          <cell r="C84" t="str">
            <v>m</v>
          </cell>
          <cell r="D84">
            <v>28.12</v>
          </cell>
          <cell r="E84">
            <v>9.15</v>
          </cell>
          <cell r="F84">
            <v>37.270000000000003</v>
          </cell>
        </row>
        <row r="85">
          <cell r="A85" t="str">
            <v>3 S 08 200 01</v>
          </cell>
          <cell r="B85" t="str">
            <v>Recomposição de sarjeta em alvenaria de tijolo</v>
          </cell>
          <cell r="C85" t="str">
            <v>m2</v>
          </cell>
          <cell r="D85">
            <v>13.37</v>
          </cell>
          <cell r="E85">
            <v>4.3499999999999996</v>
          </cell>
          <cell r="F85">
            <v>17.72</v>
          </cell>
        </row>
        <row r="86">
          <cell r="A86" t="str">
            <v>3 S 08 300 01</v>
          </cell>
          <cell r="B86" t="str">
            <v>Limpeza de sarjeta e meio fio</v>
          </cell>
          <cell r="C86" t="str">
            <v>m</v>
          </cell>
          <cell r="D86">
            <v>0.09</v>
          </cell>
          <cell r="E86">
            <v>0.02</v>
          </cell>
          <cell r="F86">
            <v>0.12</v>
          </cell>
        </row>
        <row r="87">
          <cell r="A87" t="str">
            <v>3 S 08 301 01</v>
          </cell>
          <cell r="B87" t="str">
            <v>Limpeza de valeta de corte</v>
          </cell>
          <cell r="C87" t="str">
            <v>m</v>
          </cell>
          <cell r="D87">
            <v>0.13</v>
          </cell>
          <cell r="E87">
            <v>0.04</v>
          </cell>
          <cell r="F87">
            <v>0.18</v>
          </cell>
        </row>
        <row r="88">
          <cell r="A88" t="str">
            <v>3 S 08 301 02</v>
          </cell>
          <cell r="B88" t="str">
            <v>Limpeza de vala de drenagem</v>
          </cell>
          <cell r="C88" t="str">
            <v>m</v>
          </cell>
          <cell r="D88">
            <v>0.54</v>
          </cell>
          <cell r="E88">
            <v>0.17</v>
          </cell>
          <cell r="F88">
            <v>0.72</v>
          </cell>
        </row>
        <row r="89">
          <cell r="A89" t="str">
            <v>3 S 08 301 03</v>
          </cell>
          <cell r="B89" t="str">
            <v>Limpeza de descida d'água</v>
          </cell>
          <cell r="C89" t="str">
            <v>m</v>
          </cell>
          <cell r="D89">
            <v>0.18</v>
          </cell>
          <cell r="E89">
            <v>0.05</v>
          </cell>
          <cell r="F89">
            <v>0.24</v>
          </cell>
        </row>
        <row r="90">
          <cell r="A90" t="str">
            <v>3 S 08 302 01</v>
          </cell>
          <cell r="B90" t="str">
            <v>Limpeza de bueiro</v>
          </cell>
          <cell r="C90" t="str">
            <v>m3</v>
          </cell>
          <cell r="D90">
            <v>3.03</v>
          </cell>
          <cell r="E90">
            <v>0.98</v>
          </cell>
          <cell r="F90">
            <v>4.0199999999999996</v>
          </cell>
        </row>
        <row r="91">
          <cell r="A91" t="str">
            <v>3 S 08 302 02</v>
          </cell>
          <cell r="B91" t="str">
            <v>Desobstrução de bueiro</v>
          </cell>
          <cell r="C91" t="str">
            <v>m3</v>
          </cell>
          <cell r="D91">
            <v>8.8000000000000007</v>
          </cell>
          <cell r="E91">
            <v>2.86</v>
          </cell>
          <cell r="F91">
            <v>11.67</v>
          </cell>
        </row>
        <row r="92">
          <cell r="A92" t="str">
            <v>3 S 08 302 03</v>
          </cell>
          <cell r="B92" t="str">
            <v>Assentamento de tubo D=0,60 m</v>
          </cell>
          <cell r="C92" t="str">
            <v>m</v>
          </cell>
          <cell r="D92">
            <v>55.31</v>
          </cell>
          <cell r="E92">
            <v>18</v>
          </cell>
          <cell r="F92">
            <v>73.319999999999993</v>
          </cell>
        </row>
        <row r="93">
          <cell r="A93" t="str">
            <v>3 S 08 302 04</v>
          </cell>
          <cell r="B93" t="str">
            <v>Assentamento de tubo D=0,80 m</v>
          </cell>
          <cell r="C93" t="str">
            <v>m</v>
          </cell>
          <cell r="D93">
            <v>83.26</v>
          </cell>
          <cell r="E93">
            <v>27.1</v>
          </cell>
          <cell r="F93">
            <v>110.36</v>
          </cell>
        </row>
        <row r="94">
          <cell r="A94" t="str">
            <v>3 S 08 302 05</v>
          </cell>
          <cell r="B94" t="str">
            <v>Assentamento de tubo D=1,0 m</v>
          </cell>
          <cell r="C94" t="str">
            <v>m</v>
          </cell>
          <cell r="D94">
            <v>122.24</v>
          </cell>
          <cell r="E94">
            <v>39.78</v>
          </cell>
          <cell r="F94">
            <v>162.03</v>
          </cell>
        </row>
        <row r="95">
          <cell r="A95" t="str">
            <v>3 S 08 302 06</v>
          </cell>
          <cell r="B95" t="str">
            <v>Assentamento de tubo D=1,20 m</v>
          </cell>
          <cell r="C95" t="str">
            <v>m</v>
          </cell>
          <cell r="D95">
            <v>176.45</v>
          </cell>
          <cell r="E95">
            <v>57.43</v>
          </cell>
          <cell r="F95">
            <v>233.89</v>
          </cell>
        </row>
        <row r="96">
          <cell r="A96" t="str">
            <v>3 S 08 400 00</v>
          </cell>
          <cell r="B96" t="str">
            <v>Limpeza de placa de sinalização</v>
          </cell>
          <cell r="C96" t="str">
            <v>m2</v>
          </cell>
          <cell r="D96">
            <v>1.4</v>
          </cell>
          <cell r="E96">
            <v>0.45</v>
          </cell>
          <cell r="F96">
            <v>1.85</v>
          </cell>
        </row>
        <row r="97">
          <cell r="A97" t="str">
            <v>3 S 08 400 01</v>
          </cell>
          <cell r="B97" t="str">
            <v>Recomposição placa de sinalização</v>
          </cell>
          <cell r="C97" t="str">
            <v>m2</v>
          </cell>
          <cell r="D97">
            <v>5.81</v>
          </cell>
          <cell r="E97">
            <v>1.89</v>
          </cell>
          <cell r="F97">
            <v>7.71</v>
          </cell>
        </row>
        <row r="98">
          <cell r="A98" t="str">
            <v>3 S 08 400 02</v>
          </cell>
          <cell r="B98" t="str">
            <v>Substituição de balizador</v>
          </cell>
          <cell r="C98" t="str">
            <v>un</v>
          </cell>
          <cell r="D98">
            <v>7.5</v>
          </cell>
          <cell r="E98">
            <v>2.44</v>
          </cell>
          <cell r="F98">
            <v>9.94</v>
          </cell>
        </row>
        <row r="99">
          <cell r="A99" t="str">
            <v>3 S 08 401 00</v>
          </cell>
          <cell r="B99" t="str">
            <v>Recomposição de defensa metálica</v>
          </cell>
          <cell r="C99" t="str">
            <v>m</v>
          </cell>
          <cell r="D99">
            <v>92.42</v>
          </cell>
          <cell r="E99">
            <v>30.08</v>
          </cell>
          <cell r="F99">
            <v>122.5</v>
          </cell>
        </row>
        <row r="100">
          <cell r="A100" t="str">
            <v>3 S 08 402 00</v>
          </cell>
          <cell r="B100" t="str">
            <v>Caiação</v>
          </cell>
          <cell r="C100" t="str">
            <v>m2</v>
          </cell>
          <cell r="D100">
            <v>0.45</v>
          </cell>
          <cell r="E100">
            <v>0.14000000000000001</v>
          </cell>
          <cell r="F100">
            <v>0.59</v>
          </cell>
        </row>
        <row r="101">
          <cell r="A101" t="str">
            <v>3 S 08 403 00</v>
          </cell>
          <cell r="B101" t="str">
            <v>Renovação de sinalização horizontal</v>
          </cell>
          <cell r="C101" t="str">
            <v>m2</v>
          </cell>
          <cell r="D101">
            <v>10.43</v>
          </cell>
          <cell r="E101">
            <v>3.39</v>
          </cell>
          <cell r="F101">
            <v>13.83</v>
          </cell>
        </row>
        <row r="102">
          <cell r="A102" t="str">
            <v>3 S 08 404 00</v>
          </cell>
          <cell r="B102" t="str">
            <v>Recomp. tot. cerca c/ mourão de conc. secção quad.</v>
          </cell>
          <cell r="C102" t="str">
            <v>m</v>
          </cell>
          <cell r="D102">
            <v>5.61</v>
          </cell>
          <cell r="E102">
            <v>1.82</v>
          </cell>
          <cell r="F102">
            <v>7.43</v>
          </cell>
        </row>
        <row r="103">
          <cell r="A103" t="str">
            <v>3 S 08 404 01</v>
          </cell>
          <cell r="B103" t="str">
            <v>Recomp. parc. cerca de conc. seção quad. - mourão</v>
          </cell>
          <cell r="C103" t="str">
            <v>m</v>
          </cell>
          <cell r="D103">
            <v>4.7</v>
          </cell>
          <cell r="E103">
            <v>1.53</v>
          </cell>
          <cell r="F103">
            <v>6.24</v>
          </cell>
        </row>
        <row r="104">
          <cell r="A104" t="str">
            <v>3 S 08 404 02</v>
          </cell>
          <cell r="B104" t="str">
            <v>Recomp. parc. cerca c/ mourão de concr.-arame</v>
          </cell>
          <cell r="C104" t="str">
            <v>m</v>
          </cell>
          <cell r="D104">
            <v>1.17</v>
          </cell>
          <cell r="E104">
            <v>0.38</v>
          </cell>
          <cell r="F104">
            <v>1.55</v>
          </cell>
        </row>
        <row r="105">
          <cell r="A105" t="str">
            <v>3 S 08 404 03</v>
          </cell>
          <cell r="B105" t="str">
            <v>Recomp. tot. cerca c/ mourão concr. seção triang.</v>
          </cell>
          <cell r="C105" t="str">
            <v>m</v>
          </cell>
          <cell r="D105">
            <v>4.82</v>
          </cell>
          <cell r="E105">
            <v>1.57</v>
          </cell>
          <cell r="F105">
            <v>6.4</v>
          </cell>
        </row>
        <row r="106">
          <cell r="A106" t="str">
            <v>3 S 08 404 04</v>
          </cell>
          <cell r="B106" t="str">
            <v>Recomp. parc. cerca c/ mourão concr. seção triang.</v>
          </cell>
          <cell r="C106" t="str">
            <v>m</v>
          </cell>
          <cell r="D106">
            <v>4.03</v>
          </cell>
          <cell r="E106">
            <v>1.31</v>
          </cell>
          <cell r="F106">
            <v>5.34</v>
          </cell>
        </row>
        <row r="107">
          <cell r="A107" t="str">
            <v>3 S 08 414 00</v>
          </cell>
          <cell r="B107" t="str">
            <v>Recomposição total de cerca com mourão de madeira</v>
          </cell>
          <cell r="C107" t="str">
            <v>m</v>
          </cell>
          <cell r="D107">
            <v>3.35</v>
          </cell>
          <cell r="E107">
            <v>1.0900000000000001</v>
          </cell>
          <cell r="F107">
            <v>4.4400000000000004</v>
          </cell>
        </row>
        <row r="108">
          <cell r="A108" t="str">
            <v>3 S 08 414 01</v>
          </cell>
          <cell r="B108" t="str">
            <v>Recomposição parcial cerca de madeira - mourão</v>
          </cell>
          <cell r="C108" t="str">
            <v>m</v>
          </cell>
          <cell r="D108">
            <v>2.81</v>
          </cell>
          <cell r="E108">
            <v>0.91</v>
          </cell>
          <cell r="F108">
            <v>3.73</v>
          </cell>
        </row>
        <row r="109">
          <cell r="A109" t="str">
            <v>3 S 08 414 02</v>
          </cell>
          <cell r="B109" t="str">
            <v>Recomp. parcial cerca c/ mourão de madeira - arame</v>
          </cell>
          <cell r="C109" t="str">
            <v>m</v>
          </cell>
          <cell r="D109">
            <v>0.9</v>
          </cell>
          <cell r="E109">
            <v>0.28999999999999998</v>
          </cell>
          <cell r="F109">
            <v>1.19</v>
          </cell>
        </row>
        <row r="110">
          <cell r="A110" t="str">
            <v>3 S 08 500 00</v>
          </cell>
          <cell r="B110" t="str">
            <v>Recomposição manual de aterro</v>
          </cell>
          <cell r="C110" t="str">
            <v>m3</v>
          </cell>
          <cell r="D110">
            <v>23.96</v>
          </cell>
          <cell r="E110">
            <v>7.8</v>
          </cell>
          <cell r="F110">
            <v>31.76</v>
          </cell>
        </row>
        <row r="111">
          <cell r="A111" t="str">
            <v>3 S 08 501 00</v>
          </cell>
          <cell r="B111" t="str">
            <v>Recomposição mecanizada de aterro</v>
          </cell>
          <cell r="C111" t="str">
            <v>m3</v>
          </cell>
          <cell r="D111">
            <v>7.79</v>
          </cell>
          <cell r="E111">
            <v>2.5299999999999998</v>
          </cell>
          <cell r="F111">
            <v>10.33</v>
          </cell>
        </row>
        <row r="112">
          <cell r="A112" t="str">
            <v>3 S 08 510 00</v>
          </cell>
          <cell r="B112" t="str">
            <v>Remoção manual de barreira em solo</v>
          </cell>
          <cell r="C112" t="str">
            <v>m3</v>
          </cell>
          <cell r="D112">
            <v>5.96</v>
          </cell>
          <cell r="E112">
            <v>1.94</v>
          </cell>
          <cell r="F112">
            <v>7.9</v>
          </cell>
        </row>
        <row r="113">
          <cell r="A113" t="str">
            <v>3 S 08 510 01</v>
          </cell>
          <cell r="B113" t="str">
            <v>Remoção manual de barreira em rocha</v>
          </cell>
          <cell r="C113" t="str">
            <v>m3</v>
          </cell>
          <cell r="D113">
            <v>7.45</v>
          </cell>
          <cell r="E113">
            <v>2.42</v>
          </cell>
          <cell r="F113">
            <v>9.8699999999999992</v>
          </cell>
        </row>
        <row r="114">
          <cell r="A114" t="str">
            <v>3 S 08 511 00</v>
          </cell>
          <cell r="B114" t="str">
            <v>Remoção mecanizada de barreira - solo</v>
          </cell>
          <cell r="C114" t="str">
            <v>m3</v>
          </cell>
          <cell r="D114">
            <v>1.49</v>
          </cell>
          <cell r="E114">
            <v>0.48</v>
          </cell>
          <cell r="F114">
            <v>1.98</v>
          </cell>
        </row>
        <row r="115">
          <cell r="A115" t="str">
            <v>3 S 08 512 00</v>
          </cell>
          <cell r="B115" t="str">
            <v>Remoção mecanizada de barreira - rocha</v>
          </cell>
          <cell r="C115" t="str">
            <v>m3</v>
          </cell>
          <cell r="D115">
            <v>2.29</v>
          </cell>
          <cell r="E115">
            <v>0.74</v>
          </cell>
          <cell r="F115">
            <v>3.03</v>
          </cell>
        </row>
        <row r="116">
          <cell r="A116" t="str">
            <v>3 S 08 513 00</v>
          </cell>
          <cell r="B116" t="str">
            <v>Remoção de matacões</v>
          </cell>
          <cell r="C116" t="str">
            <v>m3</v>
          </cell>
          <cell r="D116">
            <v>19.13</v>
          </cell>
          <cell r="E116">
            <v>6.22</v>
          </cell>
          <cell r="F116">
            <v>25.36</v>
          </cell>
        </row>
        <row r="117">
          <cell r="A117" t="str">
            <v>3 S 08 900 00</v>
          </cell>
          <cell r="B117" t="str">
            <v>Roçada manual</v>
          </cell>
          <cell r="C117" t="str">
            <v>ha</v>
          </cell>
          <cell r="D117">
            <v>252.79</v>
          </cell>
          <cell r="E117">
            <v>82.28</v>
          </cell>
          <cell r="F117">
            <v>335.07</v>
          </cell>
        </row>
        <row r="118">
          <cell r="A118" t="str">
            <v>3 S 08 900 01</v>
          </cell>
          <cell r="B118" t="str">
            <v>Roçada de capim colonião</v>
          </cell>
          <cell r="C118" t="str">
            <v>ha</v>
          </cell>
          <cell r="D118">
            <v>606.70000000000005</v>
          </cell>
          <cell r="E118">
            <v>197.48</v>
          </cell>
          <cell r="F118">
            <v>804.18</v>
          </cell>
        </row>
        <row r="119">
          <cell r="A119" t="str">
            <v>3 S 08 901 00</v>
          </cell>
          <cell r="B119" t="str">
            <v>Roçada mecanizada</v>
          </cell>
          <cell r="C119" t="str">
            <v>ha</v>
          </cell>
          <cell r="D119">
            <v>83</v>
          </cell>
          <cell r="E119">
            <v>27.01</v>
          </cell>
          <cell r="F119">
            <v>110.02</v>
          </cell>
        </row>
        <row r="120">
          <cell r="A120" t="str">
            <v>3 S 08 901 01</v>
          </cell>
          <cell r="B120" t="str">
            <v>Corte e limpeza de áreas gramadas</v>
          </cell>
          <cell r="C120" t="str">
            <v>m2</v>
          </cell>
          <cell r="D120">
            <v>0.02</v>
          </cell>
          <cell r="E120">
            <v>0</v>
          </cell>
          <cell r="F120">
            <v>0.03</v>
          </cell>
        </row>
        <row r="121">
          <cell r="A121" t="str">
            <v>3 S 08 910 00</v>
          </cell>
          <cell r="B121" t="str">
            <v>Capina manual</v>
          </cell>
          <cell r="C121" t="str">
            <v>m2</v>
          </cell>
          <cell r="D121">
            <v>0.1</v>
          </cell>
          <cell r="E121">
            <v>0.03</v>
          </cell>
          <cell r="F121">
            <v>0.13</v>
          </cell>
        </row>
        <row r="122">
          <cell r="A122" t="str">
            <v>3 S 09 001 00</v>
          </cell>
          <cell r="B122" t="str">
            <v>Transporte local c/ basc. 5m3 em rodov. não pav.</v>
          </cell>
          <cell r="C122" t="str">
            <v>tkm</v>
          </cell>
          <cell r="D122">
            <v>0.25</v>
          </cell>
          <cell r="E122">
            <v>0.08</v>
          </cell>
          <cell r="F122">
            <v>0.33</v>
          </cell>
        </row>
        <row r="123">
          <cell r="A123" t="str">
            <v>3 S 09 001 06</v>
          </cell>
          <cell r="B123" t="str">
            <v>Transporte local c/ basc. 10m3 em rodov. não pav.</v>
          </cell>
          <cell r="C123" t="str">
            <v>tkm</v>
          </cell>
          <cell r="D123">
            <v>0.23</v>
          </cell>
          <cell r="E123">
            <v>7.0000000000000007E-2</v>
          </cell>
          <cell r="F123">
            <v>0.3</v>
          </cell>
        </row>
        <row r="124">
          <cell r="A124" t="str">
            <v>3 S 09 001 41</v>
          </cell>
          <cell r="B124" t="str">
            <v>Transp. local c/ carroceria 4t em rodov. não pav.</v>
          </cell>
          <cell r="C124" t="str">
            <v>tkm</v>
          </cell>
          <cell r="D124">
            <v>0.35</v>
          </cell>
          <cell r="E124">
            <v>0.11</v>
          </cell>
          <cell r="F124">
            <v>0.46</v>
          </cell>
        </row>
        <row r="125">
          <cell r="A125" t="str">
            <v>3 S 09 001 90</v>
          </cell>
          <cell r="B125" t="str">
            <v>Transporte comercial c/ carroc. rodov. não pav.</v>
          </cell>
          <cell r="C125" t="str">
            <v>tkm</v>
          </cell>
          <cell r="D125">
            <v>0.15</v>
          </cell>
          <cell r="E125">
            <v>0.04</v>
          </cell>
          <cell r="F125">
            <v>0.2</v>
          </cell>
        </row>
        <row r="126">
          <cell r="A126" t="str">
            <v>3 S 09 002 00</v>
          </cell>
          <cell r="B126" t="str">
            <v>Transporte local basc. 5m3 em rodov. pav.</v>
          </cell>
          <cell r="C126" t="str">
            <v>tkm</v>
          </cell>
          <cell r="D126">
            <v>0.2</v>
          </cell>
          <cell r="E126">
            <v>0.06</v>
          </cell>
          <cell r="F126">
            <v>0.26</v>
          </cell>
        </row>
        <row r="127">
          <cell r="A127" t="str">
            <v>3 S 09 002 03</v>
          </cell>
          <cell r="B127" t="str">
            <v>Transporte local de material para remendos</v>
          </cell>
          <cell r="C127" t="str">
            <v>tkm</v>
          </cell>
          <cell r="D127">
            <v>0.3</v>
          </cell>
          <cell r="E127">
            <v>0.09</v>
          </cell>
          <cell r="F127">
            <v>0.4</v>
          </cell>
        </row>
        <row r="128">
          <cell r="A128" t="str">
            <v>3 S 09 002 06</v>
          </cell>
          <cell r="B128" t="str">
            <v>Transporte local c/ basc. 10m3 em rodov. pav.</v>
          </cell>
          <cell r="C128" t="str">
            <v>tkm</v>
          </cell>
          <cell r="D128">
            <v>0.17</v>
          </cell>
          <cell r="E128">
            <v>0.05</v>
          </cell>
          <cell r="F128">
            <v>0.23</v>
          </cell>
        </row>
        <row r="129">
          <cell r="A129" t="str">
            <v>3 S 09 002 41</v>
          </cell>
          <cell r="B129" t="str">
            <v>Transp. local c/ carroceria 4t em rodov. pav.</v>
          </cell>
          <cell r="C129" t="str">
            <v>tkm</v>
          </cell>
          <cell r="D129">
            <v>0.27</v>
          </cell>
          <cell r="E129">
            <v>0.09</v>
          </cell>
          <cell r="F129">
            <v>0.36</v>
          </cell>
        </row>
        <row r="130">
          <cell r="A130" t="str">
            <v>3 S 09 002 90</v>
          </cell>
          <cell r="B130" t="str">
            <v>Transporte comercial c/ carroceria rodov. pav.</v>
          </cell>
          <cell r="C130" t="str">
            <v>tkm</v>
          </cell>
          <cell r="D130">
            <v>0.1</v>
          </cell>
          <cell r="E130">
            <v>0.03</v>
          </cell>
          <cell r="F130">
            <v>0.13</v>
          </cell>
        </row>
        <row r="131">
          <cell r="A131" t="str">
            <v>3 S 09 102 00</v>
          </cell>
          <cell r="B131" t="str">
            <v>Transporte local material betuminoso</v>
          </cell>
          <cell r="C131" t="str">
            <v>tkm</v>
          </cell>
          <cell r="D131">
            <v>0.5</v>
          </cell>
          <cell r="E131">
            <v>0.16</v>
          </cell>
          <cell r="F131">
            <v>0.66</v>
          </cell>
        </row>
        <row r="132">
          <cell r="A132" t="str">
            <v>3 S 09 201 70</v>
          </cell>
          <cell r="B132" t="str">
            <v>Transp. local água c/ cam. tanque rodov. não pav.</v>
          </cell>
          <cell r="C132" t="str">
            <v>tkm</v>
          </cell>
          <cell r="D132">
            <v>0.48</v>
          </cell>
          <cell r="E132">
            <v>0.15</v>
          </cell>
          <cell r="F132">
            <v>0.64</v>
          </cell>
        </row>
        <row r="133">
          <cell r="A133" t="str">
            <v>3 S 09 202 70</v>
          </cell>
          <cell r="B133" t="str">
            <v>Transp. local água c/ cam. tanque em rodov. pav.</v>
          </cell>
          <cell r="C133" t="str">
            <v>tkm</v>
          </cell>
          <cell r="D133">
            <v>0.38</v>
          </cell>
          <cell r="E133">
            <v>0.12</v>
          </cell>
          <cell r="F133">
            <v>0.5</v>
          </cell>
        </row>
        <row r="134">
          <cell r="A134" t="str">
            <v>5 S 02 511 01</v>
          </cell>
          <cell r="B134" t="str">
            <v>Micro-revestimento a frio - Microflex 0,8cm</v>
          </cell>
          <cell r="C134" t="str">
            <v>m2</v>
          </cell>
          <cell r="D134">
            <v>0.62</v>
          </cell>
          <cell r="E134">
            <v>0.2</v>
          </cell>
          <cell r="F134">
            <v>0.82</v>
          </cell>
        </row>
      </sheetData>
      <sheetData sheetId="18" refreshError="1"/>
      <sheetData sheetId="19" refreshError="1">
        <row r="3">
          <cell r="A3" t="str">
            <v>AM01</v>
          </cell>
          <cell r="B3" t="str">
            <v>Aço D=4,2 mm CA 25</v>
          </cell>
          <cell r="C3" t="str">
            <v>kg</v>
          </cell>
          <cell r="D3">
            <v>0.95</v>
          </cell>
          <cell r="E3" t="str">
            <v>kg</v>
          </cell>
          <cell r="F3">
            <v>0.95</v>
          </cell>
        </row>
        <row r="4">
          <cell r="A4" t="str">
            <v>AM02</v>
          </cell>
          <cell r="B4" t="str">
            <v>Aço D=6,3 mm CA 25</v>
          </cell>
          <cell r="C4" t="str">
            <v>kg</v>
          </cell>
          <cell r="D4">
            <v>0.9</v>
          </cell>
          <cell r="E4" t="str">
            <v>kg</v>
          </cell>
          <cell r="F4">
            <v>0.9</v>
          </cell>
        </row>
        <row r="5">
          <cell r="A5" t="str">
            <v>AM03</v>
          </cell>
          <cell r="B5" t="str">
            <v>Aço D=10 mm CA 25</v>
          </cell>
          <cell r="C5" t="str">
            <v>kg</v>
          </cell>
          <cell r="D5">
            <v>0.84</v>
          </cell>
          <cell r="E5" t="str">
            <v>kg</v>
          </cell>
          <cell r="F5">
            <v>0.84</v>
          </cell>
        </row>
        <row r="6">
          <cell r="A6" t="str">
            <v>AM04</v>
          </cell>
          <cell r="B6" t="str">
            <v>Aço D=6,3 mm CA 50</v>
          </cell>
          <cell r="C6" t="str">
            <v>kg</v>
          </cell>
          <cell r="D6">
            <v>0.95</v>
          </cell>
          <cell r="E6" t="str">
            <v>kg</v>
          </cell>
          <cell r="F6">
            <v>0.95</v>
          </cell>
        </row>
        <row r="7">
          <cell r="A7" t="str">
            <v>AM05</v>
          </cell>
          <cell r="B7" t="str">
            <v>Aço D=10 mm CA 50</v>
          </cell>
          <cell r="C7" t="str">
            <v>kg</v>
          </cell>
          <cell r="D7">
            <v>0.84</v>
          </cell>
          <cell r="E7" t="str">
            <v>kg</v>
          </cell>
          <cell r="F7">
            <v>0.84</v>
          </cell>
        </row>
        <row r="8">
          <cell r="A8" t="str">
            <v>AM06</v>
          </cell>
          <cell r="B8" t="str">
            <v>Aço D=4,2 mm CA 60</v>
          </cell>
          <cell r="C8" t="str">
            <v>kg</v>
          </cell>
          <cell r="D8">
            <v>0.98</v>
          </cell>
          <cell r="E8" t="str">
            <v>kg</v>
          </cell>
          <cell r="F8">
            <v>0.98</v>
          </cell>
        </row>
        <row r="9">
          <cell r="A9" t="str">
            <v>AM07</v>
          </cell>
          <cell r="B9" t="str">
            <v>Aço D=5,0 mm CA 60</v>
          </cell>
          <cell r="C9" t="str">
            <v>kg</v>
          </cell>
          <cell r="D9">
            <v>0.97</v>
          </cell>
          <cell r="E9" t="str">
            <v>kg</v>
          </cell>
          <cell r="F9">
            <v>0.97</v>
          </cell>
        </row>
        <row r="10">
          <cell r="A10" t="str">
            <v>AM08</v>
          </cell>
          <cell r="B10" t="str">
            <v>Aço D=6,0 mm CA 60</v>
          </cell>
          <cell r="C10" t="str">
            <v>kg</v>
          </cell>
          <cell r="D10">
            <v>0.97</v>
          </cell>
          <cell r="E10" t="str">
            <v>kg</v>
          </cell>
          <cell r="F10">
            <v>0.97</v>
          </cell>
        </row>
        <row r="11">
          <cell r="A11" t="str">
            <v>AM09</v>
          </cell>
          <cell r="B11" t="str">
            <v>Mandíbula móvel p/ britador 6240C</v>
          </cell>
          <cell r="C11" t="str">
            <v>un</v>
          </cell>
          <cell r="D11">
            <v>991.2</v>
          </cell>
          <cell r="E11" t="str">
            <v>u/h</v>
          </cell>
          <cell r="F11">
            <v>4.5888999999999998</v>
          </cell>
        </row>
        <row r="12">
          <cell r="A12" t="str">
            <v>AM10</v>
          </cell>
          <cell r="B12" t="str">
            <v>Mandíbula fixa p/ britador 6240C</v>
          </cell>
          <cell r="C12" t="str">
            <v>un</v>
          </cell>
          <cell r="D12">
            <v>1050</v>
          </cell>
          <cell r="E12" t="str">
            <v>u/h</v>
          </cell>
          <cell r="F12">
            <v>7.8947000000000003</v>
          </cell>
        </row>
        <row r="13">
          <cell r="A13" t="str">
            <v>AM11</v>
          </cell>
          <cell r="B13" t="str">
            <v>Revestimento móvel p/ britador 60TS</v>
          </cell>
          <cell r="C13" t="str">
            <v>un</v>
          </cell>
          <cell r="D13">
            <v>904.04</v>
          </cell>
          <cell r="E13" t="str">
            <v>u/h</v>
          </cell>
          <cell r="F13">
            <v>2.3727999999999998</v>
          </cell>
        </row>
        <row r="14">
          <cell r="A14" t="str">
            <v>AM12</v>
          </cell>
          <cell r="B14" t="str">
            <v>Revestimento fixo p/ britador 60TS</v>
          </cell>
          <cell r="C14" t="str">
            <v>un</v>
          </cell>
          <cell r="D14">
            <v>1214.8599999999999</v>
          </cell>
          <cell r="E14" t="str">
            <v>u/h</v>
          </cell>
          <cell r="F14">
            <v>3.0756000000000001</v>
          </cell>
        </row>
        <row r="15">
          <cell r="A15" t="str">
            <v>AM19</v>
          </cell>
          <cell r="B15" t="str">
            <v>Mandíbula fixa p/ britador 4230</v>
          </cell>
          <cell r="C15" t="str">
            <v>un</v>
          </cell>
          <cell r="D15">
            <v>476.7</v>
          </cell>
          <cell r="E15" t="str">
            <v>u/h</v>
          </cell>
          <cell r="F15">
            <v>3.1779999999999999</v>
          </cell>
        </row>
        <row r="16">
          <cell r="A16" t="str">
            <v>AM20</v>
          </cell>
          <cell r="B16" t="str">
            <v>Mandíbula móvel p/ britador 4230</v>
          </cell>
          <cell r="C16" t="str">
            <v>un</v>
          </cell>
          <cell r="D16">
            <v>476.7</v>
          </cell>
          <cell r="E16" t="str">
            <v>u/h</v>
          </cell>
          <cell r="F16">
            <v>4.7670000000000003</v>
          </cell>
        </row>
        <row r="17">
          <cell r="A17" t="str">
            <v>AM25</v>
          </cell>
          <cell r="B17" t="str">
            <v>Mandíbula móvel para britador 80x50</v>
          </cell>
          <cell r="C17" t="str">
            <v>un</v>
          </cell>
          <cell r="D17">
            <v>2415</v>
          </cell>
          <cell r="E17" t="str">
            <v>u/h</v>
          </cell>
          <cell r="F17">
            <v>9.66</v>
          </cell>
        </row>
        <row r="18">
          <cell r="A18" t="str">
            <v>AM26</v>
          </cell>
          <cell r="B18" t="str">
            <v>Mandíbula fixa para britador 80x50</v>
          </cell>
          <cell r="C18" t="str">
            <v>un</v>
          </cell>
          <cell r="D18">
            <v>2261.69</v>
          </cell>
          <cell r="E18" t="str">
            <v>u/h</v>
          </cell>
          <cell r="F18">
            <v>5.1755000000000004</v>
          </cell>
        </row>
        <row r="19">
          <cell r="A19" t="str">
            <v>AM27</v>
          </cell>
          <cell r="B19" t="str">
            <v>Revestimento móvel p/ britador 90TS</v>
          </cell>
          <cell r="C19" t="str">
            <v>un</v>
          </cell>
          <cell r="D19">
            <v>1653.77</v>
          </cell>
          <cell r="E19" t="str">
            <v>u/h</v>
          </cell>
          <cell r="F19">
            <v>4.8928000000000003</v>
          </cell>
        </row>
        <row r="20">
          <cell r="A20" t="str">
            <v>AM28</v>
          </cell>
          <cell r="B20" t="str">
            <v>Revestimento fixo p/ britador 90TS</v>
          </cell>
          <cell r="C20" t="str">
            <v>un</v>
          </cell>
          <cell r="D20">
            <v>2144.12</v>
          </cell>
          <cell r="E20" t="str">
            <v>u/h</v>
          </cell>
          <cell r="F20">
            <v>4.8730000000000002</v>
          </cell>
        </row>
        <row r="21">
          <cell r="A21" t="str">
            <v>AM29</v>
          </cell>
          <cell r="B21" t="str">
            <v>Revestimento móvel p/ britador 90TF</v>
          </cell>
          <cell r="C21" t="str">
            <v>un</v>
          </cell>
          <cell r="D21">
            <v>1417.5</v>
          </cell>
          <cell r="E21" t="str">
            <v>u/h</v>
          </cell>
          <cell r="F21">
            <v>14.318199999999999</v>
          </cell>
        </row>
        <row r="22">
          <cell r="A22" t="str">
            <v>AM30</v>
          </cell>
          <cell r="B22" t="str">
            <v>Revestimento fixo p/ britador 90TF</v>
          </cell>
          <cell r="C22" t="str">
            <v>un</v>
          </cell>
          <cell r="D22">
            <v>1375.5</v>
          </cell>
          <cell r="E22" t="str">
            <v>u/h</v>
          </cell>
          <cell r="F22">
            <v>11.004</v>
          </cell>
        </row>
        <row r="23">
          <cell r="A23" t="str">
            <v>AM35</v>
          </cell>
          <cell r="B23" t="str">
            <v>Brita 1</v>
          </cell>
          <cell r="C23" t="str">
            <v>m3</v>
          </cell>
          <cell r="D23">
            <v>25</v>
          </cell>
          <cell r="E23" t="str">
            <v>m3</v>
          </cell>
          <cell r="F23">
            <v>25</v>
          </cell>
        </row>
        <row r="24">
          <cell r="A24" t="str">
            <v>AM36</v>
          </cell>
          <cell r="B24" t="str">
            <v>Brita 2</v>
          </cell>
          <cell r="C24" t="str">
            <v>m3</v>
          </cell>
          <cell r="D24">
            <v>25</v>
          </cell>
          <cell r="E24" t="str">
            <v>m3</v>
          </cell>
          <cell r="F24">
            <v>25</v>
          </cell>
        </row>
        <row r="25">
          <cell r="A25" t="str">
            <v>AM37</v>
          </cell>
          <cell r="B25" t="str">
            <v>Brita 3</v>
          </cell>
          <cell r="C25" t="str">
            <v>m3</v>
          </cell>
          <cell r="D25">
            <v>25</v>
          </cell>
          <cell r="E25" t="str">
            <v>m3</v>
          </cell>
          <cell r="F25">
            <v>25</v>
          </cell>
        </row>
        <row r="26">
          <cell r="A26" t="str">
            <v>F801</v>
          </cell>
          <cell r="B26" t="str">
            <v>Bomba hidráulica alta pressão MAC</v>
          </cell>
          <cell r="C26" t="str">
            <v>dia</v>
          </cell>
          <cell r="D26">
            <v>288</v>
          </cell>
          <cell r="E26" t="str">
            <v>h</v>
          </cell>
          <cell r="F26">
            <v>36</v>
          </cell>
        </row>
        <row r="27">
          <cell r="A27" t="str">
            <v>F802</v>
          </cell>
          <cell r="B27" t="str">
            <v>Bomba eletr p/ injeção de nata MAC</v>
          </cell>
          <cell r="C27" t="str">
            <v>dia</v>
          </cell>
          <cell r="D27">
            <v>203.52</v>
          </cell>
          <cell r="E27" t="str">
            <v>h</v>
          </cell>
          <cell r="F27">
            <v>25.44</v>
          </cell>
        </row>
        <row r="28">
          <cell r="A28" t="str">
            <v>F803</v>
          </cell>
          <cell r="B28" t="str">
            <v>Macaco p/ protensão MAC 7</v>
          </cell>
          <cell r="C28" t="str">
            <v>dia</v>
          </cell>
          <cell r="D28">
            <v>186.97</v>
          </cell>
          <cell r="E28" t="str">
            <v>h</v>
          </cell>
          <cell r="F28">
            <v>23.371200000000002</v>
          </cell>
        </row>
        <row r="29">
          <cell r="A29" t="str">
            <v>F804</v>
          </cell>
          <cell r="B29" t="str">
            <v>Macaco p/ protensão MAC 12</v>
          </cell>
          <cell r="C29" t="str">
            <v>dia</v>
          </cell>
          <cell r="D29">
            <v>186.41</v>
          </cell>
          <cell r="E29" t="str">
            <v>h</v>
          </cell>
          <cell r="F29">
            <v>23.301200000000001</v>
          </cell>
        </row>
        <row r="30">
          <cell r="A30" t="str">
            <v>F805</v>
          </cell>
          <cell r="B30" t="str">
            <v>Macaco p/ protensão MAC 4</v>
          </cell>
          <cell r="C30" t="str">
            <v>dia</v>
          </cell>
          <cell r="D30">
            <v>183.45</v>
          </cell>
          <cell r="E30" t="str">
            <v>h</v>
          </cell>
          <cell r="F30">
            <v>22.9312</v>
          </cell>
        </row>
        <row r="31">
          <cell r="A31" t="str">
            <v>F807</v>
          </cell>
          <cell r="B31" t="str">
            <v>Bomba hidr. alta pressão STUP</v>
          </cell>
          <cell r="C31" t="str">
            <v>dia</v>
          </cell>
          <cell r="D31">
            <v>375</v>
          </cell>
          <cell r="E31" t="str">
            <v>h</v>
          </cell>
          <cell r="F31">
            <v>46.875</v>
          </cell>
        </row>
        <row r="32">
          <cell r="A32" t="str">
            <v>F808</v>
          </cell>
          <cell r="B32" t="str">
            <v>Bomba eletr. injeção de nata STUP</v>
          </cell>
          <cell r="C32" t="str">
            <v>dia</v>
          </cell>
          <cell r="D32">
            <v>385</v>
          </cell>
          <cell r="E32" t="str">
            <v>h</v>
          </cell>
          <cell r="F32">
            <v>48.125</v>
          </cell>
        </row>
        <row r="33">
          <cell r="A33" t="str">
            <v>F809</v>
          </cell>
          <cell r="B33" t="str">
            <v>Macaco p/ protensão STUP</v>
          </cell>
          <cell r="C33" t="str">
            <v>dia</v>
          </cell>
          <cell r="D33">
            <v>368</v>
          </cell>
          <cell r="E33" t="str">
            <v>h</v>
          </cell>
          <cell r="F33">
            <v>46</v>
          </cell>
        </row>
        <row r="34">
          <cell r="A34" t="str">
            <v>F810</v>
          </cell>
          <cell r="B34" t="str">
            <v>Macaco p/ protensão STUP</v>
          </cell>
          <cell r="C34" t="str">
            <v>dia</v>
          </cell>
          <cell r="D34">
            <v>378</v>
          </cell>
          <cell r="E34" t="str">
            <v>h</v>
          </cell>
          <cell r="F34">
            <v>47.25</v>
          </cell>
        </row>
        <row r="35">
          <cell r="A35" t="str">
            <v>F811</v>
          </cell>
          <cell r="B35" t="str">
            <v>Macaco p/ protensão STUP</v>
          </cell>
          <cell r="C35" t="str">
            <v>dia</v>
          </cell>
          <cell r="D35">
            <v>426</v>
          </cell>
          <cell r="E35" t="str">
            <v>h</v>
          </cell>
          <cell r="F35">
            <v>53.25</v>
          </cell>
        </row>
        <row r="36">
          <cell r="A36" t="str">
            <v>F812</v>
          </cell>
          <cell r="B36" t="str">
            <v>Macaco p/ protensão STUP</v>
          </cell>
          <cell r="C36" t="str">
            <v>dia</v>
          </cell>
          <cell r="D36">
            <v>352</v>
          </cell>
          <cell r="E36" t="str">
            <v>h</v>
          </cell>
          <cell r="F36">
            <v>44</v>
          </cell>
        </row>
        <row r="37">
          <cell r="A37" t="str">
            <v>F813</v>
          </cell>
          <cell r="B37" t="str">
            <v>Macaco p/ prot. de tirante D=32mm</v>
          </cell>
          <cell r="C37" t="str">
            <v>dia</v>
          </cell>
          <cell r="D37">
            <v>36.75</v>
          </cell>
          <cell r="E37" t="str">
            <v>h</v>
          </cell>
          <cell r="F37">
            <v>4.5937999999999999</v>
          </cell>
        </row>
        <row r="38">
          <cell r="A38" t="str">
            <v>F814</v>
          </cell>
          <cell r="B38" t="str">
            <v>Injeção de nata de cimento</v>
          </cell>
          <cell r="C38" t="str">
            <v>m</v>
          </cell>
          <cell r="D38">
            <v>4.09</v>
          </cell>
          <cell r="E38" t="str">
            <v>m</v>
          </cell>
          <cell r="F38">
            <v>4.09</v>
          </cell>
        </row>
        <row r="39">
          <cell r="A39" t="str">
            <v>F943</v>
          </cell>
          <cell r="B39" t="str">
            <v>Terra Armada - moldes metálicos</v>
          </cell>
          <cell r="C39" t="str">
            <v>cj</v>
          </cell>
          <cell r="D39">
            <v>0.51</v>
          </cell>
          <cell r="E39" t="str">
            <v>cj</v>
          </cell>
          <cell r="F39">
            <v>0.51</v>
          </cell>
        </row>
        <row r="40">
          <cell r="A40" t="str">
            <v>M001</v>
          </cell>
          <cell r="B40" t="str">
            <v>Gasolina</v>
          </cell>
          <cell r="C40" t="str">
            <v>l</v>
          </cell>
          <cell r="D40">
            <v>1.66</v>
          </cell>
          <cell r="E40" t="str">
            <v>l</v>
          </cell>
          <cell r="F40">
            <v>1.66</v>
          </cell>
        </row>
        <row r="41">
          <cell r="A41" t="str">
            <v>M002</v>
          </cell>
          <cell r="B41" t="str">
            <v>Diesel</v>
          </cell>
          <cell r="C41" t="str">
            <v>l</v>
          </cell>
          <cell r="D41">
            <v>0.87</v>
          </cell>
          <cell r="E41" t="str">
            <v>l</v>
          </cell>
          <cell r="F41">
            <v>0.87</v>
          </cell>
        </row>
        <row r="42">
          <cell r="A42" t="str">
            <v>M003</v>
          </cell>
          <cell r="B42" t="str">
            <v>Óleo combustível 1A</v>
          </cell>
          <cell r="C42" t="str">
            <v>l</v>
          </cell>
          <cell r="D42">
            <v>0.46</v>
          </cell>
          <cell r="E42" t="str">
            <v>l</v>
          </cell>
          <cell r="F42">
            <v>0.46479999999999999</v>
          </cell>
        </row>
        <row r="43">
          <cell r="A43" t="str">
            <v>M004</v>
          </cell>
          <cell r="B43" t="str">
            <v>Álcool</v>
          </cell>
          <cell r="C43" t="str">
            <v>l</v>
          </cell>
          <cell r="D43">
            <v>1.19</v>
          </cell>
          <cell r="E43" t="str">
            <v>l</v>
          </cell>
          <cell r="F43">
            <v>1.19</v>
          </cell>
        </row>
        <row r="44">
          <cell r="A44" t="str">
            <v>M005</v>
          </cell>
          <cell r="B44" t="str">
            <v>Energia elétrica</v>
          </cell>
          <cell r="C44" t="str">
            <v>kwh</v>
          </cell>
          <cell r="D44">
            <v>0.21</v>
          </cell>
          <cell r="E44" t="str">
            <v>kwh</v>
          </cell>
          <cell r="F44">
            <v>0.21010000000000001</v>
          </cell>
        </row>
        <row r="45">
          <cell r="A45" t="str">
            <v>M101</v>
          </cell>
          <cell r="B45" t="str">
            <v>Cimento asfáltico CAP-20</v>
          </cell>
          <cell r="C45" t="str">
            <v>t</v>
          </cell>
          <cell r="D45">
            <v>0</v>
          </cell>
          <cell r="E45" t="str">
            <v>t</v>
          </cell>
          <cell r="F45">
            <v>0</v>
          </cell>
        </row>
        <row r="46">
          <cell r="A46" t="str">
            <v>M102</v>
          </cell>
          <cell r="B46" t="str">
            <v>Cimento asfáltico CAP-40</v>
          </cell>
          <cell r="C46" t="str">
            <v>t</v>
          </cell>
          <cell r="D46">
            <v>0</v>
          </cell>
          <cell r="E46" t="str">
            <v>t</v>
          </cell>
          <cell r="F46">
            <v>0</v>
          </cell>
        </row>
        <row r="47">
          <cell r="A47" t="str">
            <v>M103</v>
          </cell>
          <cell r="B47" t="str">
            <v>Asfalto diluído CM-30</v>
          </cell>
          <cell r="C47" t="str">
            <v>t</v>
          </cell>
          <cell r="D47">
            <v>784.1</v>
          </cell>
          <cell r="E47" t="str">
            <v>t</v>
          </cell>
          <cell r="F47">
            <v>0</v>
          </cell>
        </row>
        <row r="48">
          <cell r="A48" t="str">
            <v>M104</v>
          </cell>
          <cell r="B48" t="str">
            <v>Emulsão asfáltica RR-1C</v>
          </cell>
          <cell r="C48" t="str">
            <v>t</v>
          </cell>
          <cell r="D48">
            <v>484.1</v>
          </cell>
          <cell r="E48" t="str">
            <v>t</v>
          </cell>
          <cell r="F48">
            <v>0</v>
          </cell>
        </row>
        <row r="49">
          <cell r="A49" t="str">
            <v>M105</v>
          </cell>
          <cell r="B49" t="str">
            <v>Emulsão asfáltica RR-2C</v>
          </cell>
          <cell r="C49" t="str">
            <v>t</v>
          </cell>
          <cell r="D49">
            <v>0</v>
          </cell>
          <cell r="E49" t="str">
            <v>t</v>
          </cell>
          <cell r="F49">
            <v>0</v>
          </cell>
        </row>
        <row r="50">
          <cell r="A50" t="str">
            <v>M106</v>
          </cell>
          <cell r="B50" t="str">
            <v>Cimento asfáltico CAP 7</v>
          </cell>
          <cell r="C50" t="str">
            <v>t</v>
          </cell>
          <cell r="D50">
            <v>0</v>
          </cell>
          <cell r="E50" t="str">
            <v>t</v>
          </cell>
          <cell r="F50">
            <v>0</v>
          </cell>
        </row>
        <row r="51">
          <cell r="A51" t="str">
            <v>M107</v>
          </cell>
          <cell r="B51" t="str">
            <v>Emulsão asfáltica RM-1C</v>
          </cell>
          <cell r="C51" t="str">
            <v>t</v>
          </cell>
          <cell r="D51">
            <v>617.9</v>
          </cell>
          <cell r="E51" t="str">
            <v>t</v>
          </cell>
          <cell r="F51">
            <v>0</v>
          </cell>
        </row>
        <row r="52">
          <cell r="A52" t="str">
            <v>M108</v>
          </cell>
          <cell r="B52" t="str">
            <v>Emulsão asfáltica RM-2C</v>
          </cell>
          <cell r="C52" t="str">
            <v>t</v>
          </cell>
          <cell r="D52">
            <v>662.8</v>
          </cell>
          <cell r="E52" t="str">
            <v>t</v>
          </cell>
          <cell r="F52">
            <v>0</v>
          </cell>
        </row>
        <row r="53">
          <cell r="A53" t="str">
            <v>M109</v>
          </cell>
          <cell r="B53" t="str">
            <v>Emulsão asfáltica RL-1C</v>
          </cell>
          <cell r="C53" t="str">
            <v>t</v>
          </cell>
          <cell r="D53">
            <v>615</v>
          </cell>
          <cell r="E53" t="str">
            <v>t</v>
          </cell>
          <cell r="F53">
            <v>0</v>
          </cell>
        </row>
        <row r="54">
          <cell r="A54" t="str">
            <v>M110</v>
          </cell>
          <cell r="B54" t="str">
            <v>Emulsão polim. p/ micro-rev. a frio</v>
          </cell>
          <cell r="C54" t="str">
            <v>t</v>
          </cell>
          <cell r="D54">
            <v>0</v>
          </cell>
          <cell r="E54" t="str">
            <v>t</v>
          </cell>
          <cell r="F54">
            <v>0</v>
          </cell>
        </row>
        <row r="55">
          <cell r="A55" t="str">
            <v>M111</v>
          </cell>
          <cell r="B55" t="str">
            <v>Aditivo p/ controle de ruptura</v>
          </cell>
          <cell r="C55" t="str">
            <v>kg</v>
          </cell>
          <cell r="D55">
            <v>1.5</v>
          </cell>
          <cell r="E55" t="str">
            <v>kg</v>
          </cell>
          <cell r="F55">
            <v>1.5</v>
          </cell>
        </row>
        <row r="56">
          <cell r="A56" t="str">
            <v>M112</v>
          </cell>
          <cell r="B56" t="str">
            <v>Aditivo sólido (fibras)</v>
          </cell>
          <cell r="C56" t="str">
            <v>kg</v>
          </cell>
          <cell r="D56">
            <v>2.2000000000000002</v>
          </cell>
          <cell r="E56" t="str">
            <v>kg</v>
          </cell>
          <cell r="F56">
            <v>2.2000000000000002</v>
          </cell>
        </row>
        <row r="57">
          <cell r="A57" t="str">
            <v>M114</v>
          </cell>
          <cell r="B57" t="str">
            <v>Agente rejuv. p/ recicl. a quente</v>
          </cell>
          <cell r="C57" t="str">
            <v>t</v>
          </cell>
          <cell r="D57">
            <v>0</v>
          </cell>
          <cell r="E57" t="str">
            <v>t</v>
          </cell>
          <cell r="F57">
            <v>0</v>
          </cell>
        </row>
        <row r="58">
          <cell r="A58" t="str">
            <v>M201</v>
          </cell>
          <cell r="B58" t="str">
            <v>Cimento portland CP-32 (a granel)</v>
          </cell>
          <cell r="C58" t="str">
            <v>kg</v>
          </cell>
          <cell r="D58">
            <v>0.158</v>
          </cell>
          <cell r="E58" t="str">
            <v>kg</v>
          </cell>
          <cell r="F58">
            <v>0.2</v>
          </cell>
        </row>
        <row r="59">
          <cell r="A59" t="str">
            <v>M202</v>
          </cell>
          <cell r="B59" t="str">
            <v>Cimento portland CP-32</v>
          </cell>
          <cell r="C59" t="str">
            <v>kg</v>
          </cell>
          <cell r="D59">
            <v>0.20319999999999999</v>
          </cell>
          <cell r="E59" t="str">
            <v>sc</v>
          </cell>
          <cell r="F59">
            <v>10.16</v>
          </cell>
        </row>
        <row r="60">
          <cell r="A60" t="str">
            <v>M307</v>
          </cell>
          <cell r="B60" t="str">
            <v>Cordoalha CP-190 RB D=12,7mm</v>
          </cell>
          <cell r="C60" t="str">
            <v>kg</v>
          </cell>
          <cell r="D60">
            <v>2</v>
          </cell>
          <cell r="E60" t="str">
            <v>kg</v>
          </cell>
          <cell r="F60">
            <v>2</v>
          </cell>
        </row>
        <row r="61">
          <cell r="A61" t="str">
            <v>M319</v>
          </cell>
          <cell r="B61" t="str">
            <v>Arame recozido nº. 18</v>
          </cell>
          <cell r="C61" t="str">
            <v>kg</v>
          </cell>
          <cell r="D61">
            <v>1.72</v>
          </cell>
          <cell r="E61" t="str">
            <v>kg</v>
          </cell>
          <cell r="F61">
            <v>1.72</v>
          </cell>
        </row>
        <row r="62">
          <cell r="A62" t="str">
            <v>M320</v>
          </cell>
          <cell r="B62" t="str">
            <v>Pregos (18x30)</v>
          </cell>
          <cell r="C62" t="str">
            <v>kg</v>
          </cell>
          <cell r="D62">
            <v>1.46</v>
          </cell>
          <cell r="E62" t="str">
            <v>kg</v>
          </cell>
          <cell r="F62">
            <v>1.46</v>
          </cell>
        </row>
        <row r="63">
          <cell r="A63" t="str">
            <v>M321</v>
          </cell>
          <cell r="B63" t="str">
            <v>Arame farpado nº. 16 galv. simples</v>
          </cell>
          <cell r="C63" t="str">
            <v>m</v>
          </cell>
          <cell r="D63">
            <v>0.09</v>
          </cell>
          <cell r="E63" t="str">
            <v>rl</v>
          </cell>
          <cell r="F63">
            <v>22.5</v>
          </cell>
        </row>
        <row r="64">
          <cell r="A64" t="str">
            <v>M322</v>
          </cell>
          <cell r="B64" t="str">
            <v>Grampo para cerca galvanizado 1 x 9</v>
          </cell>
          <cell r="C64" t="str">
            <v>kg</v>
          </cell>
          <cell r="D64">
            <v>1.85</v>
          </cell>
          <cell r="E64" t="str">
            <v>kg</v>
          </cell>
          <cell r="F64">
            <v>1.85</v>
          </cell>
        </row>
        <row r="65">
          <cell r="A65" t="str">
            <v>M323</v>
          </cell>
          <cell r="B65" t="str">
            <v>Cantoneira de aço 4" x 4" x 3/8"</v>
          </cell>
          <cell r="C65" t="str">
            <v>kg</v>
          </cell>
          <cell r="D65">
            <v>0.88</v>
          </cell>
          <cell r="E65" t="str">
            <v>kg</v>
          </cell>
          <cell r="F65">
            <v>0.88</v>
          </cell>
        </row>
        <row r="66">
          <cell r="A66" t="str">
            <v>M324</v>
          </cell>
          <cell r="B66" t="str">
            <v>Pórtico metálico (15 a 17m de vão)</v>
          </cell>
          <cell r="C66" t="str">
            <v>un</v>
          </cell>
          <cell r="D66">
            <v>13500</v>
          </cell>
          <cell r="E66" t="str">
            <v>un</v>
          </cell>
          <cell r="F66">
            <v>13500</v>
          </cell>
        </row>
        <row r="67">
          <cell r="A67" t="str">
            <v>M325</v>
          </cell>
          <cell r="B67" t="str">
            <v>Trilho metálico TR-37 (usado)</v>
          </cell>
          <cell r="C67" t="str">
            <v>kg</v>
          </cell>
          <cell r="D67">
            <v>0.65</v>
          </cell>
          <cell r="E67" t="str">
            <v>kg</v>
          </cell>
          <cell r="F67">
            <v>0.65</v>
          </cell>
        </row>
        <row r="68">
          <cell r="A68" t="str">
            <v>M326</v>
          </cell>
          <cell r="B68" t="str">
            <v>Série de brocas S-12 D=22 mm</v>
          </cell>
          <cell r="C68" t="str">
            <v>un</v>
          </cell>
          <cell r="D68">
            <v>1121.06</v>
          </cell>
          <cell r="E68" t="str">
            <v>un</v>
          </cell>
          <cell r="F68">
            <v>1121.06</v>
          </cell>
        </row>
        <row r="69">
          <cell r="A69" t="str">
            <v>M328</v>
          </cell>
          <cell r="B69" t="str">
            <v>Luva de emenda D=32mm</v>
          </cell>
          <cell r="C69" t="str">
            <v>un</v>
          </cell>
          <cell r="D69">
            <v>23.65</v>
          </cell>
          <cell r="E69" t="str">
            <v>un</v>
          </cell>
          <cell r="F69">
            <v>23.65</v>
          </cell>
        </row>
        <row r="70">
          <cell r="A70" t="str">
            <v>M330</v>
          </cell>
          <cell r="B70" t="str">
            <v>Calha met. semicircular D=40 cm</v>
          </cell>
          <cell r="C70" t="str">
            <v>m</v>
          </cell>
          <cell r="D70">
            <v>55</v>
          </cell>
          <cell r="E70" t="str">
            <v>m</v>
          </cell>
          <cell r="F70">
            <v>55</v>
          </cell>
        </row>
        <row r="71">
          <cell r="A71" t="str">
            <v>M331</v>
          </cell>
          <cell r="B71" t="str">
            <v>Paraf. fixação calha met. (1/2"x1")</v>
          </cell>
          <cell r="C71" t="str">
            <v>un</v>
          </cell>
          <cell r="D71">
            <v>0.42</v>
          </cell>
          <cell r="E71" t="str">
            <v>un</v>
          </cell>
          <cell r="F71">
            <v>0.42</v>
          </cell>
        </row>
        <row r="72">
          <cell r="A72" t="str">
            <v>M332</v>
          </cell>
          <cell r="B72" t="str">
            <v>Paraf. forma de madeira (1/2"x3")</v>
          </cell>
          <cell r="C72" t="str">
            <v>kg</v>
          </cell>
          <cell r="D72">
            <v>12.6</v>
          </cell>
          <cell r="E72" t="str">
            <v>kg</v>
          </cell>
          <cell r="F72">
            <v>12.6</v>
          </cell>
        </row>
        <row r="73">
          <cell r="A73" t="str">
            <v>M334</v>
          </cell>
          <cell r="B73" t="str">
            <v>Paraf. zinc. c/ fenda 1 1/2"x3/16"</v>
          </cell>
          <cell r="C73" t="str">
            <v>un</v>
          </cell>
          <cell r="D73">
            <v>0.06</v>
          </cell>
          <cell r="E73" t="str">
            <v>un</v>
          </cell>
          <cell r="F73">
            <v>0.06</v>
          </cell>
        </row>
        <row r="74">
          <cell r="A74" t="str">
            <v>M335</v>
          </cell>
          <cell r="B74" t="str">
            <v>Paraf. zincado francês 4" x 5/16"</v>
          </cell>
          <cell r="C74" t="str">
            <v>un</v>
          </cell>
          <cell r="D74">
            <v>0.33</v>
          </cell>
          <cell r="E74" t="str">
            <v>un</v>
          </cell>
          <cell r="F74">
            <v>0.33</v>
          </cell>
        </row>
        <row r="75">
          <cell r="A75" t="str">
            <v>M338</v>
          </cell>
          <cell r="B75" t="str">
            <v>Cano de ferro D=3/4"</v>
          </cell>
          <cell r="C75" t="str">
            <v>m</v>
          </cell>
          <cell r="D75">
            <v>1.92</v>
          </cell>
          <cell r="E75" t="str">
            <v>pç</v>
          </cell>
          <cell r="F75">
            <v>11.52</v>
          </cell>
        </row>
        <row r="76">
          <cell r="A76" t="str">
            <v>M339</v>
          </cell>
          <cell r="B76" t="str">
            <v>Cantoneira ferro (3,0"x3,0"x3/8")</v>
          </cell>
          <cell r="C76" t="str">
            <v>kg</v>
          </cell>
          <cell r="D76">
            <v>0.86</v>
          </cell>
          <cell r="E76" t="str">
            <v>kg</v>
          </cell>
          <cell r="F76">
            <v>0.86</v>
          </cell>
        </row>
        <row r="77">
          <cell r="A77" t="str">
            <v>M340</v>
          </cell>
          <cell r="B77" t="str">
            <v>Tampão de ferro fundido</v>
          </cell>
          <cell r="C77" t="str">
            <v>un</v>
          </cell>
          <cell r="D77">
            <v>135.31</v>
          </cell>
          <cell r="E77" t="str">
            <v>un</v>
          </cell>
          <cell r="F77">
            <v>135.31</v>
          </cell>
        </row>
        <row r="78">
          <cell r="A78" t="str">
            <v>M341</v>
          </cell>
          <cell r="B78" t="str">
            <v>Defensa met. maleável simples</v>
          </cell>
          <cell r="C78" t="str">
            <v>mod</v>
          </cell>
          <cell r="D78">
            <v>546</v>
          </cell>
          <cell r="E78" t="str">
            <v>mod</v>
          </cell>
          <cell r="F78">
            <v>546</v>
          </cell>
        </row>
        <row r="79">
          <cell r="A79" t="str">
            <v>M342</v>
          </cell>
          <cell r="B79" t="str">
            <v>Defensa met. maleável dupla</v>
          </cell>
          <cell r="C79" t="str">
            <v>mod</v>
          </cell>
          <cell r="D79">
            <v>680</v>
          </cell>
          <cell r="E79" t="str">
            <v>mod</v>
          </cell>
          <cell r="F79">
            <v>680</v>
          </cell>
        </row>
        <row r="80">
          <cell r="A80" t="str">
            <v>M343</v>
          </cell>
          <cell r="B80" t="str">
            <v>Defensa met. semi-maleável simples</v>
          </cell>
          <cell r="C80" t="str">
            <v>mod</v>
          </cell>
          <cell r="D80">
            <v>360</v>
          </cell>
          <cell r="E80" t="str">
            <v>mod</v>
          </cell>
          <cell r="F80">
            <v>360</v>
          </cell>
        </row>
        <row r="81">
          <cell r="A81" t="str">
            <v>M344</v>
          </cell>
          <cell r="B81" t="str">
            <v>Defensa met. semi-maleável dupla</v>
          </cell>
          <cell r="C81" t="str">
            <v>mod</v>
          </cell>
          <cell r="D81">
            <v>618</v>
          </cell>
          <cell r="E81" t="str">
            <v>mod</v>
          </cell>
          <cell r="F81">
            <v>618</v>
          </cell>
        </row>
        <row r="82">
          <cell r="A82" t="str">
            <v>M345</v>
          </cell>
          <cell r="B82" t="str">
            <v>Chapa de aço n. 28 (fina)</v>
          </cell>
          <cell r="C82" t="str">
            <v>kg</v>
          </cell>
          <cell r="D82">
            <v>1.665</v>
          </cell>
          <cell r="E82" t="str">
            <v>kg</v>
          </cell>
          <cell r="F82">
            <v>1.67</v>
          </cell>
        </row>
        <row r="83">
          <cell r="A83" t="str">
            <v>M346</v>
          </cell>
          <cell r="B83" t="str">
            <v>Chapa de aço n. 16 (tratada)</v>
          </cell>
          <cell r="C83" t="str">
            <v>m2</v>
          </cell>
          <cell r="D83">
            <v>17.5</v>
          </cell>
          <cell r="E83" t="str">
            <v>m2</v>
          </cell>
          <cell r="F83">
            <v>17.5</v>
          </cell>
        </row>
        <row r="84">
          <cell r="A84" t="str">
            <v>M347</v>
          </cell>
          <cell r="B84" t="str">
            <v>Dente p/ fresadora 1000 C</v>
          </cell>
          <cell r="C84" t="str">
            <v>un</v>
          </cell>
          <cell r="D84">
            <v>19.260000000000002</v>
          </cell>
          <cell r="E84" t="str">
            <v>un</v>
          </cell>
          <cell r="F84">
            <v>19.260000000000002</v>
          </cell>
        </row>
        <row r="85">
          <cell r="A85" t="str">
            <v>M348</v>
          </cell>
          <cell r="B85" t="str">
            <v>Porta dente p/ fresadora 1000 C</v>
          </cell>
          <cell r="C85" t="str">
            <v>un</v>
          </cell>
          <cell r="D85">
            <v>42.94</v>
          </cell>
          <cell r="E85" t="str">
            <v>un</v>
          </cell>
          <cell r="F85">
            <v>42.94</v>
          </cell>
        </row>
        <row r="86">
          <cell r="A86" t="str">
            <v>M349</v>
          </cell>
          <cell r="B86" t="str">
            <v>Dente p/ fresadora 2000 DC</v>
          </cell>
          <cell r="C86" t="str">
            <v>un</v>
          </cell>
          <cell r="D86">
            <v>19.260000000000002</v>
          </cell>
          <cell r="E86" t="str">
            <v>un</v>
          </cell>
          <cell r="F86">
            <v>19.260000000000002</v>
          </cell>
        </row>
        <row r="87">
          <cell r="A87" t="str">
            <v>M350</v>
          </cell>
          <cell r="B87" t="str">
            <v>Porta dente p/ fresadora 2000 DC</v>
          </cell>
          <cell r="C87" t="str">
            <v>un</v>
          </cell>
          <cell r="D87">
            <v>68.8</v>
          </cell>
          <cell r="E87" t="str">
            <v>un</v>
          </cell>
          <cell r="F87">
            <v>68.8</v>
          </cell>
        </row>
        <row r="88">
          <cell r="A88" t="str">
            <v>M351</v>
          </cell>
          <cell r="B88" t="str">
            <v>Estrut. (tunnel liner) D=1,6m galv.</v>
          </cell>
          <cell r="C88" t="str">
            <v>m</v>
          </cell>
          <cell r="D88">
            <v>827</v>
          </cell>
          <cell r="E88" t="str">
            <v>m</v>
          </cell>
          <cell r="F88">
            <v>827</v>
          </cell>
        </row>
        <row r="89">
          <cell r="A89" t="str">
            <v>M352</v>
          </cell>
          <cell r="B89" t="str">
            <v>Estrut. (tunnel liner) D=2,0m galv.</v>
          </cell>
          <cell r="C89" t="str">
            <v>m</v>
          </cell>
          <cell r="D89">
            <v>1036</v>
          </cell>
          <cell r="E89" t="str">
            <v>m</v>
          </cell>
          <cell r="F89">
            <v>1036</v>
          </cell>
        </row>
        <row r="90">
          <cell r="A90" t="str">
            <v>M353</v>
          </cell>
          <cell r="B90" t="str">
            <v>Estrut. (tunnel liner) D=1,6m epoxy</v>
          </cell>
          <cell r="C90" t="str">
            <v>m</v>
          </cell>
          <cell r="D90">
            <v>1296</v>
          </cell>
          <cell r="E90" t="str">
            <v>m</v>
          </cell>
          <cell r="F90">
            <v>1296</v>
          </cell>
        </row>
        <row r="91">
          <cell r="A91" t="str">
            <v>M354</v>
          </cell>
          <cell r="B91" t="str">
            <v>Estrut, (tunnel liner) D=2,0m epoxy</v>
          </cell>
          <cell r="C91" t="str">
            <v>m</v>
          </cell>
          <cell r="D91">
            <v>1117</v>
          </cell>
          <cell r="E91" t="str">
            <v>m</v>
          </cell>
          <cell r="F91">
            <v>1117</v>
          </cell>
        </row>
        <row r="92">
          <cell r="A92" t="str">
            <v>M355</v>
          </cell>
          <cell r="B92" t="str">
            <v>Chapa mult. D=1,60 m rev. galv.</v>
          </cell>
          <cell r="C92" t="str">
            <v>m</v>
          </cell>
          <cell r="D92">
            <v>980</v>
          </cell>
          <cell r="E92" t="str">
            <v>m</v>
          </cell>
          <cell r="F92">
            <v>980</v>
          </cell>
        </row>
        <row r="93">
          <cell r="A93" t="str">
            <v>M356</v>
          </cell>
          <cell r="B93" t="str">
            <v>Chapa mult. D=2,00 m rev. galv.</v>
          </cell>
          <cell r="C93" t="str">
            <v>m</v>
          </cell>
          <cell r="D93">
            <v>1225</v>
          </cell>
          <cell r="E93" t="str">
            <v>m</v>
          </cell>
          <cell r="F93">
            <v>1225</v>
          </cell>
        </row>
        <row r="94">
          <cell r="A94" t="str">
            <v>M357</v>
          </cell>
          <cell r="B94" t="str">
            <v>Chapa mult. D=1,60 m rev. epoxy</v>
          </cell>
          <cell r="C94" t="str">
            <v>m</v>
          </cell>
          <cell r="D94">
            <v>1060</v>
          </cell>
          <cell r="E94" t="str">
            <v>m</v>
          </cell>
          <cell r="F94">
            <v>1060</v>
          </cell>
        </row>
        <row r="95">
          <cell r="A95" t="str">
            <v>M358</v>
          </cell>
          <cell r="B95" t="str">
            <v>Chapa mult. D=2,00 m rev. epoxy</v>
          </cell>
          <cell r="C95" t="str">
            <v>m</v>
          </cell>
          <cell r="D95">
            <v>1325</v>
          </cell>
          <cell r="E95" t="str">
            <v>m</v>
          </cell>
          <cell r="F95">
            <v>1325</v>
          </cell>
        </row>
        <row r="96">
          <cell r="A96" t="str">
            <v>M359</v>
          </cell>
          <cell r="B96" t="str">
            <v>Vigas "I" 254 x 117,5mm - 1ª alma</v>
          </cell>
          <cell r="C96" t="str">
            <v>kg</v>
          </cell>
          <cell r="D96">
            <v>1.45</v>
          </cell>
          <cell r="E96" t="str">
            <v>kg</v>
          </cell>
          <cell r="F96">
            <v>1.45</v>
          </cell>
        </row>
        <row r="97">
          <cell r="A97" t="str">
            <v>M370</v>
          </cell>
          <cell r="B97" t="str">
            <v>Bainha metálica diam. int.=45mm MAC</v>
          </cell>
          <cell r="C97" t="str">
            <v>m</v>
          </cell>
          <cell r="D97">
            <v>6.44</v>
          </cell>
          <cell r="E97" t="str">
            <v>m</v>
          </cell>
          <cell r="F97">
            <v>6.44</v>
          </cell>
        </row>
        <row r="98">
          <cell r="A98" t="str">
            <v>M371</v>
          </cell>
          <cell r="B98" t="str">
            <v>Bainha metálica diam. int.=60mm MAC</v>
          </cell>
          <cell r="C98" t="str">
            <v>m</v>
          </cell>
          <cell r="D98">
            <v>9.82</v>
          </cell>
          <cell r="E98" t="str">
            <v>m</v>
          </cell>
          <cell r="F98">
            <v>9.82</v>
          </cell>
        </row>
        <row r="99">
          <cell r="A99" t="str">
            <v>M372</v>
          </cell>
          <cell r="B99" t="str">
            <v>Bainha metálica diam. int.=55mm MAC</v>
          </cell>
          <cell r="C99" t="str">
            <v>m</v>
          </cell>
          <cell r="D99">
            <v>8.42</v>
          </cell>
          <cell r="E99" t="str">
            <v>m</v>
          </cell>
          <cell r="F99">
            <v>8.42</v>
          </cell>
        </row>
        <row r="100">
          <cell r="A100" t="str">
            <v>M373</v>
          </cell>
          <cell r="B100" t="str">
            <v>Bainha metálica diam. int.=70mm MAC</v>
          </cell>
          <cell r="C100" t="str">
            <v>m</v>
          </cell>
          <cell r="D100">
            <v>11.04</v>
          </cell>
          <cell r="E100" t="str">
            <v>m</v>
          </cell>
          <cell r="F100">
            <v>11.04</v>
          </cell>
        </row>
        <row r="101">
          <cell r="A101" t="str">
            <v>M374</v>
          </cell>
          <cell r="B101" t="str">
            <v>Ancoragem p/ cabo 4V D=1/2" MAC 4a</v>
          </cell>
          <cell r="C101" t="str">
            <v>cj</v>
          </cell>
          <cell r="D101">
            <v>142.43</v>
          </cell>
          <cell r="E101" t="str">
            <v>cj</v>
          </cell>
          <cell r="F101">
            <v>142.43</v>
          </cell>
        </row>
        <row r="102">
          <cell r="A102" t="str">
            <v>M375</v>
          </cell>
          <cell r="B102" t="str">
            <v>Ancoragem p/ cabo 6V D=1/2" MAC 6ac</v>
          </cell>
          <cell r="C102" t="str">
            <v>cj</v>
          </cell>
          <cell r="D102">
            <v>223.36</v>
          </cell>
          <cell r="E102" t="str">
            <v>cj</v>
          </cell>
          <cell r="F102">
            <v>223.36</v>
          </cell>
        </row>
        <row r="103">
          <cell r="A103" t="str">
            <v>M376</v>
          </cell>
          <cell r="B103" t="str">
            <v>Ancoragem p/ cabo 7V D=1/2" MAC 7a</v>
          </cell>
          <cell r="C103" t="str">
            <v>cj</v>
          </cell>
          <cell r="D103">
            <v>431.11</v>
          </cell>
          <cell r="E103" t="str">
            <v>cj</v>
          </cell>
          <cell r="F103">
            <v>431.11</v>
          </cell>
        </row>
        <row r="104">
          <cell r="A104" t="str">
            <v>M377</v>
          </cell>
          <cell r="B104" t="str">
            <v>Ancoragem p/ cabo 12V D=1/2" MAC 12</v>
          </cell>
          <cell r="C104" t="str">
            <v>cj</v>
          </cell>
          <cell r="D104">
            <v>452.67</v>
          </cell>
          <cell r="E104" t="str">
            <v>cj</v>
          </cell>
          <cell r="F104">
            <v>452.67</v>
          </cell>
        </row>
        <row r="105">
          <cell r="A105" t="str">
            <v>M378</v>
          </cell>
          <cell r="B105" t="str">
            <v>Apoio do porta dente frezad. 2000DC</v>
          </cell>
          <cell r="C105" t="str">
            <v>un</v>
          </cell>
          <cell r="D105">
            <v>145.94999999999999</v>
          </cell>
          <cell r="E105" t="str">
            <v>un</v>
          </cell>
          <cell r="F105">
            <v>145.94999999999999</v>
          </cell>
        </row>
        <row r="106">
          <cell r="A106" t="str">
            <v>M380</v>
          </cell>
          <cell r="B106" t="str">
            <v>Bainha metálica D=45mm STUP</v>
          </cell>
          <cell r="C106" t="str">
            <v>m</v>
          </cell>
          <cell r="D106">
            <v>7.4</v>
          </cell>
          <cell r="E106" t="str">
            <v>m</v>
          </cell>
          <cell r="F106">
            <v>7.4</v>
          </cell>
        </row>
        <row r="107">
          <cell r="A107" t="str">
            <v>M381</v>
          </cell>
          <cell r="B107" t="str">
            <v>Bainha metálica D=60mm STUP</v>
          </cell>
          <cell r="C107" t="str">
            <v>m</v>
          </cell>
          <cell r="D107">
            <v>8.9</v>
          </cell>
          <cell r="E107" t="str">
            <v>m</v>
          </cell>
          <cell r="F107">
            <v>8.9</v>
          </cell>
        </row>
        <row r="108">
          <cell r="A108" t="str">
            <v>M382</v>
          </cell>
          <cell r="B108" t="str">
            <v>Bainha metálica D=55mm STUP</v>
          </cell>
          <cell r="C108" t="str">
            <v>m</v>
          </cell>
          <cell r="D108">
            <v>8.6</v>
          </cell>
          <cell r="E108" t="str">
            <v>m</v>
          </cell>
          <cell r="F108">
            <v>8.6</v>
          </cell>
        </row>
        <row r="109">
          <cell r="A109" t="str">
            <v>M383</v>
          </cell>
          <cell r="B109" t="str">
            <v>Bainha metálica D=70mm STUP</v>
          </cell>
          <cell r="C109" t="str">
            <v>m</v>
          </cell>
          <cell r="D109">
            <v>9.8000000000000007</v>
          </cell>
          <cell r="E109" t="str">
            <v>m</v>
          </cell>
          <cell r="F109">
            <v>9.8000000000000007</v>
          </cell>
        </row>
        <row r="110">
          <cell r="A110" t="str">
            <v>M384</v>
          </cell>
          <cell r="B110" t="str">
            <v>Ancoragem p/ cabo 4V D=1/2" STUP</v>
          </cell>
          <cell r="C110" t="str">
            <v>cj</v>
          </cell>
          <cell r="D110">
            <v>117</v>
          </cell>
          <cell r="E110" t="str">
            <v>cj</v>
          </cell>
          <cell r="F110">
            <v>117</v>
          </cell>
        </row>
        <row r="111">
          <cell r="A111" t="str">
            <v>M385</v>
          </cell>
          <cell r="B111" t="str">
            <v>Ancoragem p/ cabo 6V D=1/2" STUP</v>
          </cell>
          <cell r="C111" t="str">
            <v>cj</v>
          </cell>
          <cell r="D111">
            <v>175</v>
          </cell>
          <cell r="E111" t="str">
            <v>cj</v>
          </cell>
          <cell r="F111">
            <v>175</v>
          </cell>
        </row>
        <row r="112">
          <cell r="A112" t="str">
            <v>M386</v>
          </cell>
          <cell r="B112" t="str">
            <v>Ancoragem p/ cabo 7V D=1/2" STUP</v>
          </cell>
          <cell r="C112" t="str">
            <v>cj</v>
          </cell>
          <cell r="D112">
            <v>209</v>
          </cell>
          <cell r="E112" t="str">
            <v>cj</v>
          </cell>
          <cell r="F112">
            <v>209</v>
          </cell>
        </row>
        <row r="113">
          <cell r="A113" t="str">
            <v>M387</v>
          </cell>
          <cell r="B113" t="str">
            <v>Ancoragem p/ cabo 12V D=1/2" STUP</v>
          </cell>
          <cell r="C113" t="str">
            <v>cj</v>
          </cell>
          <cell r="D113">
            <v>415</v>
          </cell>
          <cell r="E113" t="str">
            <v>cj</v>
          </cell>
          <cell r="F113">
            <v>415</v>
          </cell>
        </row>
        <row r="114">
          <cell r="A114" t="str">
            <v>M390</v>
          </cell>
          <cell r="B114" t="str">
            <v>Porca de ancoragem D=32mm</v>
          </cell>
          <cell r="C114" t="str">
            <v>un</v>
          </cell>
          <cell r="D114">
            <v>14.3</v>
          </cell>
          <cell r="E114" t="str">
            <v>un</v>
          </cell>
          <cell r="F114">
            <v>14.3</v>
          </cell>
        </row>
        <row r="115">
          <cell r="A115" t="str">
            <v>M391</v>
          </cell>
          <cell r="B115" t="str">
            <v>Contra porca h=35mm D=32mm</v>
          </cell>
          <cell r="C115" t="str">
            <v>un</v>
          </cell>
          <cell r="D115">
            <v>10.45</v>
          </cell>
          <cell r="E115" t="str">
            <v>un</v>
          </cell>
          <cell r="F115">
            <v>10.45</v>
          </cell>
        </row>
        <row r="116">
          <cell r="A116" t="str">
            <v>M392</v>
          </cell>
          <cell r="B116" t="str">
            <v>Aço ST 85/105 D=32mm</v>
          </cell>
          <cell r="C116" t="str">
            <v>m</v>
          </cell>
          <cell r="D116">
            <v>21.52</v>
          </cell>
          <cell r="E116" t="str">
            <v>m</v>
          </cell>
          <cell r="F116">
            <v>21.52</v>
          </cell>
        </row>
        <row r="117">
          <cell r="A117" t="str">
            <v>M393</v>
          </cell>
          <cell r="B117" t="str">
            <v>Placa de ancoragem - 200x200x38mm</v>
          </cell>
          <cell r="C117" t="str">
            <v>un</v>
          </cell>
          <cell r="D117">
            <v>48.3</v>
          </cell>
          <cell r="E117" t="str">
            <v>un</v>
          </cell>
          <cell r="F117">
            <v>48.3</v>
          </cell>
        </row>
        <row r="118">
          <cell r="A118" t="str">
            <v>M394</v>
          </cell>
          <cell r="B118" t="str">
            <v>Bainha metálica D=38mm</v>
          </cell>
          <cell r="C118" t="str">
            <v>m</v>
          </cell>
          <cell r="D118">
            <v>6</v>
          </cell>
          <cell r="E118" t="str">
            <v>m</v>
          </cell>
          <cell r="F118">
            <v>6</v>
          </cell>
        </row>
        <row r="119">
          <cell r="A119" t="str">
            <v>M395</v>
          </cell>
          <cell r="B119" t="str">
            <v>Bits p/ estabil. e recicl. RR/SS250</v>
          </cell>
          <cell r="C119" t="str">
            <v>un</v>
          </cell>
          <cell r="D119">
            <v>25</v>
          </cell>
          <cell r="E119" t="str">
            <v>un</v>
          </cell>
          <cell r="F119">
            <v>25</v>
          </cell>
        </row>
        <row r="120">
          <cell r="A120" t="str">
            <v>M396</v>
          </cell>
          <cell r="B120" t="str">
            <v>Porta dente p/ est. e rec. RR/SS250</v>
          </cell>
          <cell r="C120" t="str">
            <v>un</v>
          </cell>
          <cell r="D120">
            <v>161.83000000000001</v>
          </cell>
          <cell r="E120" t="str">
            <v>un</v>
          </cell>
          <cell r="F120">
            <v>161.83000000000001</v>
          </cell>
        </row>
        <row r="121">
          <cell r="A121" t="str">
            <v>M397</v>
          </cell>
          <cell r="B121" t="str">
            <v>Dente de corte para equip. recicl.</v>
          </cell>
          <cell r="C121" t="str">
            <v>un</v>
          </cell>
          <cell r="D121">
            <v>40.950000000000003</v>
          </cell>
          <cell r="E121" t="str">
            <v>un</v>
          </cell>
          <cell r="F121">
            <v>40.950000000000003</v>
          </cell>
        </row>
        <row r="122">
          <cell r="A122" t="str">
            <v>M398</v>
          </cell>
          <cell r="B122" t="str">
            <v>Chapa de 8,00 mm</v>
          </cell>
          <cell r="C122" t="str">
            <v>kg</v>
          </cell>
          <cell r="D122">
            <v>0.91</v>
          </cell>
          <cell r="E122" t="str">
            <v>kg</v>
          </cell>
          <cell r="F122">
            <v>0.91</v>
          </cell>
        </row>
        <row r="123">
          <cell r="A123" t="str">
            <v>M401</v>
          </cell>
          <cell r="B123" t="str">
            <v>Pontaletes D=15 cm (tronco p/ esc.)</v>
          </cell>
          <cell r="C123" t="str">
            <v>m</v>
          </cell>
          <cell r="D123">
            <v>1.5</v>
          </cell>
          <cell r="E123" t="str">
            <v>m</v>
          </cell>
          <cell r="F123">
            <v>1.5</v>
          </cell>
        </row>
        <row r="124">
          <cell r="A124" t="str">
            <v>M402</v>
          </cell>
          <cell r="B124" t="str">
            <v>Pontaletes D=20 cm (tronco p/ esc.)</v>
          </cell>
          <cell r="C124" t="str">
            <v>m</v>
          </cell>
          <cell r="D124">
            <v>2</v>
          </cell>
          <cell r="E124" t="str">
            <v>m</v>
          </cell>
          <cell r="F124">
            <v>2</v>
          </cell>
        </row>
        <row r="125">
          <cell r="A125" t="str">
            <v>M403</v>
          </cell>
          <cell r="B125" t="str">
            <v>Mourão madeira H=2,15 m D=9 cm</v>
          </cell>
          <cell r="C125" t="str">
            <v>un</v>
          </cell>
          <cell r="D125">
            <v>4.5</v>
          </cell>
          <cell r="E125" t="str">
            <v>un</v>
          </cell>
          <cell r="F125">
            <v>4.5</v>
          </cell>
        </row>
        <row r="126">
          <cell r="A126" t="str">
            <v>M404</v>
          </cell>
          <cell r="B126" t="str">
            <v>Mourão madeira H=2,50 m D=12 cm</v>
          </cell>
          <cell r="C126" t="str">
            <v>un</v>
          </cell>
          <cell r="D126">
            <v>4.5</v>
          </cell>
          <cell r="E126" t="str">
            <v>un</v>
          </cell>
          <cell r="F126">
            <v>4.5</v>
          </cell>
        </row>
        <row r="127">
          <cell r="A127" t="str">
            <v>M405</v>
          </cell>
          <cell r="B127" t="str">
            <v>Ripas de 2,5 cm x 5,0 cm</v>
          </cell>
          <cell r="C127" t="str">
            <v>m</v>
          </cell>
          <cell r="D127">
            <v>0.39</v>
          </cell>
          <cell r="E127" t="str">
            <v>m</v>
          </cell>
          <cell r="F127">
            <v>0.39</v>
          </cell>
        </row>
        <row r="128">
          <cell r="A128" t="str">
            <v>M406</v>
          </cell>
          <cell r="B128" t="str">
            <v>Caibros de 7,5 cm x 7,5 cm</v>
          </cell>
          <cell r="C128" t="str">
            <v>m</v>
          </cell>
          <cell r="D128">
            <v>3</v>
          </cell>
          <cell r="E128" t="str">
            <v>m</v>
          </cell>
          <cell r="F128">
            <v>3</v>
          </cell>
        </row>
        <row r="129">
          <cell r="A129" t="str">
            <v>M407</v>
          </cell>
          <cell r="B129" t="str">
            <v>Tábua pinho de 1ª 2,5 cm x 15,0 cm</v>
          </cell>
          <cell r="C129" t="str">
            <v>m</v>
          </cell>
          <cell r="D129">
            <v>1.2</v>
          </cell>
          <cell r="E129" t="str">
            <v>m</v>
          </cell>
          <cell r="F129">
            <v>1.2</v>
          </cell>
        </row>
        <row r="130">
          <cell r="A130" t="str">
            <v>M408</v>
          </cell>
          <cell r="B130" t="str">
            <v>Tábua de 5ª 2,5 cm x 30,0 cm</v>
          </cell>
          <cell r="C130" t="str">
            <v>m</v>
          </cell>
          <cell r="D130">
            <v>2.2999999999999998</v>
          </cell>
          <cell r="E130" t="str">
            <v>m</v>
          </cell>
          <cell r="F130">
            <v>2.2999999999999998</v>
          </cell>
        </row>
        <row r="131">
          <cell r="A131" t="str">
            <v>M409</v>
          </cell>
          <cell r="B131" t="str">
            <v>Pranchão de 1ª de 5,0 cm x 30,0 cm</v>
          </cell>
          <cell r="C131" t="str">
            <v>m</v>
          </cell>
          <cell r="D131">
            <v>10</v>
          </cell>
          <cell r="E131" t="str">
            <v>m</v>
          </cell>
          <cell r="F131">
            <v>10</v>
          </cell>
        </row>
        <row r="132">
          <cell r="A132" t="str">
            <v>M410</v>
          </cell>
          <cell r="B132" t="str">
            <v>Compensado resinado de 17 mm</v>
          </cell>
          <cell r="C132" t="str">
            <v>m2</v>
          </cell>
          <cell r="D132">
            <v>10</v>
          </cell>
          <cell r="E132" t="str">
            <v>un</v>
          </cell>
          <cell r="F132">
            <v>24.2</v>
          </cell>
        </row>
        <row r="133">
          <cell r="A133" t="str">
            <v>M411</v>
          </cell>
          <cell r="B133" t="str">
            <v>Compensado plastificado de 17 mm</v>
          </cell>
          <cell r="C133" t="str">
            <v>m2</v>
          </cell>
          <cell r="D133">
            <v>18</v>
          </cell>
          <cell r="E133" t="str">
            <v>un</v>
          </cell>
          <cell r="F133">
            <v>53.46</v>
          </cell>
        </row>
        <row r="134">
          <cell r="A134" t="str">
            <v>M412</v>
          </cell>
          <cell r="B134" t="str">
            <v>Gastalho 10 x 2,0 cm</v>
          </cell>
          <cell r="C134" t="str">
            <v>m</v>
          </cell>
          <cell r="D134">
            <v>1</v>
          </cell>
          <cell r="E134" t="str">
            <v>m</v>
          </cell>
          <cell r="F134">
            <v>1</v>
          </cell>
        </row>
        <row r="135">
          <cell r="A135" t="str">
            <v>M413</v>
          </cell>
          <cell r="B135" t="str">
            <v>Gastalho 10 x 2,5 cm</v>
          </cell>
          <cell r="C135" t="str">
            <v>m</v>
          </cell>
          <cell r="D135">
            <v>0.85</v>
          </cell>
          <cell r="E135" t="str">
            <v>m</v>
          </cell>
          <cell r="F135">
            <v>0.85</v>
          </cell>
        </row>
        <row r="136">
          <cell r="A136" t="str">
            <v>M414</v>
          </cell>
          <cell r="B136" t="str">
            <v>Pranchão 7,5 x 30,0 cm</v>
          </cell>
          <cell r="C136" t="str">
            <v>m</v>
          </cell>
          <cell r="D136">
            <v>13.7</v>
          </cell>
          <cell r="E136" t="str">
            <v>un</v>
          </cell>
          <cell r="F136">
            <v>13.7</v>
          </cell>
        </row>
        <row r="137">
          <cell r="A137" t="str">
            <v>M415</v>
          </cell>
          <cell r="B137" t="str">
            <v>Tábua 2,5 x 22,5 cm</v>
          </cell>
          <cell r="C137" t="str">
            <v>m</v>
          </cell>
          <cell r="D137">
            <v>1.8</v>
          </cell>
          <cell r="E137" t="str">
            <v>un</v>
          </cell>
          <cell r="F137">
            <v>1.8</v>
          </cell>
        </row>
        <row r="138">
          <cell r="A138" t="str">
            <v>M501</v>
          </cell>
          <cell r="B138" t="str">
            <v>Dinamite a 60% (gelatina especial)</v>
          </cell>
          <cell r="C138" t="str">
            <v>kg</v>
          </cell>
          <cell r="D138">
            <v>1.76</v>
          </cell>
          <cell r="E138" t="str">
            <v>kg</v>
          </cell>
          <cell r="F138">
            <v>1.76</v>
          </cell>
        </row>
        <row r="139">
          <cell r="A139" t="str">
            <v>M503</v>
          </cell>
          <cell r="B139" t="str">
            <v>Espoleta comum n. 8</v>
          </cell>
          <cell r="C139" t="str">
            <v>un</v>
          </cell>
          <cell r="D139">
            <v>0.15</v>
          </cell>
          <cell r="E139" t="str">
            <v>un</v>
          </cell>
          <cell r="F139">
            <v>0.15</v>
          </cell>
        </row>
        <row r="140">
          <cell r="A140" t="str">
            <v>M505</v>
          </cell>
          <cell r="B140" t="str">
            <v>Cordel detonante NP 10</v>
          </cell>
          <cell r="C140" t="str">
            <v>m</v>
          </cell>
          <cell r="D140">
            <v>0.28999999999999998</v>
          </cell>
          <cell r="E140" t="str">
            <v>m</v>
          </cell>
          <cell r="F140">
            <v>0.28999999999999998</v>
          </cell>
        </row>
        <row r="141">
          <cell r="A141" t="str">
            <v>M507</v>
          </cell>
          <cell r="B141" t="str">
            <v>Retardador de cordel</v>
          </cell>
          <cell r="C141" t="str">
            <v>un</v>
          </cell>
          <cell r="D141">
            <v>4</v>
          </cell>
          <cell r="E141" t="str">
            <v>un</v>
          </cell>
          <cell r="F141">
            <v>4</v>
          </cell>
        </row>
        <row r="142">
          <cell r="A142" t="str">
            <v>M508</v>
          </cell>
          <cell r="B142" t="str">
            <v>Estopim</v>
          </cell>
          <cell r="C142" t="str">
            <v>m</v>
          </cell>
          <cell r="D142">
            <v>0.28999999999999998</v>
          </cell>
          <cell r="E142" t="str">
            <v>m</v>
          </cell>
          <cell r="F142">
            <v>0.28999999999999998</v>
          </cell>
        </row>
        <row r="143">
          <cell r="A143" t="str">
            <v>M600</v>
          </cell>
          <cell r="B143" t="str">
            <v>Tinta refletiva alquídica p/ 1 ano</v>
          </cell>
          <cell r="C143" t="str">
            <v>l</v>
          </cell>
          <cell r="D143">
            <v>5.5660999999999996</v>
          </cell>
          <cell r="E143" t="str">
            <v>ba</v>
          </cell>
          <cell r="F143">
            <v>100.19</v>
          </cell>
        </row>
        <row r="144">
          <cell r="A144" t="str">
            <v>M601</v>
          </cell>
          <cell r="B144" t="str">
            <v>Tinta refletiva acrílica p/ 2 anos</v>
          </cell>
          <cell r="C144" t="str">
            <v>l</v>
          </cell>
          <cell r="D144">
            <v>6.72</v>
          </cell>
          <cell r="E144" t="str">
            <v>ba</v>
          </cell>
          <cell r="F144">
            <v>120.96</v>
          </cell>
        </row>
        <row r="145">
          <cell r="A145" t="str">
            <v>M602</v>
          </cell>
          <cell r="B145" t="str">
            <v>Adubo NPK (4.14.8)</v>
          </cell>
          <cell r="C145" t="str">
            <v>kg</v>
          </cell>
          <cell r="D145">
            <v>0.5</v>
          </cell>
          <cell r="E145" t="str">
            <v>kg</v>
          </cell>
          <cell r="F145">
            <v>0.5</v>
          </cell>
        </row>
        <row r="146">
          <cell r="A146" t="str">
            <v>M603</v>
          </cell>
          <cell r="B146" t="str">
            <v>Inseticida</v>
          </cell>
          <cell r="C146" t="str">
            <v>l</v>
          </cell>
          <cell r="D146">
            <v>18</v>
          </cell>
          <cell r="E146" t="str">
            <v>l</v>
          </cell>
          <cell r="F146">
            <v>18</v>
          </cell>
        </row>
        <row r="147">
          <cell r="A147" t="str">
            <v>M604</v>
          </cell>
          <cell r="B147" t="str">
            <v>Aditivo plastiment BV-40</v>
          </cell>
          <cell r="C147" t="str">
            <v>kg</v>
          </cell>
          <cell r="D147">
            <v>1.6</v>
          </cell>
          <cell r="E147" t="str">
            <v>tam</v>
          </cell>
          <cell r="F147">
            <v>320</v>
          </cell>
        </row>
        <row r="148">
          <cell r="A148" t="str">
            <v>M605</v>
          </cell>
          <cell r="B148" t="str">
            <v>Cola para tubo PVC</v>
          </cell>
          <cell r="C148" t="str">
            <v>gr</v>
          </cell>
          <cell r="D148">
            <v>1.55E-2</v>
          </cell>
          <cell r="E148" t="str">
            <v>tb</v>
          </cell>
          <cell r="F148">
            <v>1.1599999999999999</v>
          </cell>
        </row>
        <row r="149">
          <cell r="A149" t="str">
            <v>M606</v>
          </cell>
          <cell r="B149" t="str">
            <v>Tinta anti-corrosiva</v>
          </cell>
          <cell r="C149" t="str">
            <v>l</v>
          </cell>
          <cell r="D149">
            <v>6.95</v>
          </cell>
          <cell r="E149" t="str">
            <v>ba</v>
          </cell>
          <cell r="F149">
            <v>125.1</v>
          </cell>
        </row>
        <row r="150">
          <cell r="A150" t="str">
            <v>M607</v>
          </cell>
          <cell r="B150" t="str">
            <v>Óleo de linhaça</v>
          </cell>
          <cell r="C150" t="str">
            <v>l</v>
          </cell>
          <cell r="D150">
            <v>5.4</v>
          </cell>
          <cell r="E150" t="str">
            <v>tam</v>
          </cell>
          <cell r="F150">
            <v>1080</v>
          </cell>
        </row>
        <row r="151">
          <cell r="A151" t="str">
            <v>M608</v>
          </cell>
          <cell r="B151" t="str">
            <v>Detergente</v>
          </cell>
          <cell r="C151" t="str">
            <v>l</v>
          </cell>
          <cell r="D151">
            <v>0.94</v>
          </cell>
          <cell r="E151" t="str">
            <v>ba</v>
          </cell>
          <cell r="F151">
            <v>16.920000000000002</v>
          </cell>
        </row>
        <row r="152">
          <cell r="A152" t="str">
            <v>M609</v>
          </cell>
          <cell r="B152" t="str">
            <v>Tinta esmalte sintético fosco</v>
          </cell>
          <cell r="C152" t="str">
            <v>l</v>
          </cell>
          <cell r="D152">
            <v>7.78</v>
          </cell>
          <cell r="E152" t="str">
            <v>ba</v>
          </cell>
          <cell r="F152">
            <v>140.04</v>
          </cell>
        </row>
        <row r="153">
          <cell r="A153" t="str">
            <v>M610</v>
          </cell>
          <cell r="B153" t="str">
            <v>Pintura epóxica - barra D= 32mm</v>
          </cell>
          <cell r="C153" t="str">
            <v>m</v>
          </cell>
          <cell r="D153">
            <v>3.67</v>
          </cell>
          <cell r="E153" t="str">
            <v>m</v>
          </cell>
          <cell r="F153">
            <v>3.67</v>
          </cell>
        </row>
        <row r="154">
          <cell r="A154" t="str">
            <v>M611</v>
          </cell>
          <cell r="B154" t="str">
            <v>Redutor tipo 2002 prim. qualidade</v>
          </cell>
          <cell r="C154" t="str">
            <v>l</v>
          </cell>
          <cell r="D154">
            <v>3.2669999999999999</v>
          </cell>
          <cell r="E154" t="str">
            <v>l</v>
          </cell>
          <cell r="F154">
            <v>3.27</v>
          </cell>
        </row>
        <row r="155">
          <cell r="A155" t="str">
            <v>M612</v>
          </cell>
          <cell r="B155" t="str">
            <v>Lixa para ferro n. 100</v>
          </cell>
          <cell r="C155" t="str">
            <v>un</v>
          </cell>
          <cell r="D155">
            <v>0.75</v>
          </cell>
          <cell r="E155" t="str">
            <v>un</v>
          </cell>
          <cell r="F155">
            <v>0.75</v>
          </cell>
        </row>
        <row r="156">
          <cell r="A156" t="str">
            <v>M613</v>
          </cell>
          <cell r="B156" t="str">
            <v>Base de resina alquídica (primer)</v>
          </cell>
          <cell r="C156" t="str">
            <v>l</v>
          </cell>
          <cell r="D156">
            <v>4.88</v>
          </cell>
          <cell r="E156" t="str">
            <v>l</v>
          </cell>
          <cell r="F156">
            <v>4.88</v>
          </cell>
        </row>
        <row r="157">
          <cell r="A157" t="str">
            <v>M615</v>
          </cell>
          <cell r="B157" t="str">
            <v>Microesferas PRE-MIX</v>
          </cell>
          <cell r="C157" t="str">
            <v>kg</v>
          </cell>
          <cell r="D157">
            <v>2.3759999999999999</v>
          </cell>
          <cell r="E157" t="str">
            <v>kg</v>
          </cell>
          <cell r="F157">
            <v>2.38</v>
          </cell>
        </row>
        <row r="158">
          <cell r="A158" t="str">
            <v>M616</v>
          </cell>
          <cell r="B158" t="str">
            <v>Microesferas DROP-ON</v>
          </cell>
          <cell r="C158" t="str">
            <v>kg</v>
          </cell>
          <cell r="D158">
            <v>2.379</v>
          </cell>
          <cell r="E158" t="str">
            <v>kg</v>
          </cell>
          <cell r="F158">
            <v>2.38</v>
          </cell>
        </row>
        <row r="159">
          <cell r="A159" t="str">
            <v>M617</v>
          </cell>
          <cell r="B159" t="str">
            <v>Massa termoplástica para extrusão</v>
          </cell>
          <cell r="C159" t="str">
            <v>kg</v>
          </cell>
          <cell r="D159">
            <v>2.97</v>
          </cell>
          <cell r="E159" t="str">
            <v>kg</v>
          </cell>
          <cell r="F159">
            <v>2.97</v>
          </cell>
        </row>
        <row r="160">
          <cell r="A160" t="str">
            <v>M618</v>
          </cell>
          <cell r="B160" t="str">
            <v>Massa termoplástica para aspersão</v>
          </cell>
          <cell r="C160" t="str">
            <v>kg</v>
          </cell>
          <cell r="D160">
            <v>3.5089999999999999</v>
          </cell>
          <cell r="E160" t="str">
            <v>kg</v>
          </cell>
          <cell r="F160">
            <v>3.51</v>
          </cell>
        </row>
        <row r="161">
          <cell r="A161" t="str">
            <v>M619</v>
          </cell>
          <cell r="B161" t="str">
            <v>Cola poliester</v>
          </cell>
          <cell r="C161" t="str">
            <v>kg</v>
          </cell>
          <cell r="D161">
            <v>6.9</v>
          </cell>
          <cell r="E161" t="str">
            <v>kg</v>
          </cell>
          <cell r="F161">
            <v>6.9</v>
          </cell>
        </row>
        <row r="162">
          <cell r="A162" t="str">
            <v>M620</v>
          </cell>
          <cell r="B162" t="str">
            <v>Protetor de cura do concreto</v>
          </cell>
          <cell r="C162" t="str">
            <v>kg</v>
          </cell>
          <cell r="D162">
            <v>3.6246999999999998</v>
          </cell>
          <cell r="E162" t="str">
            <v>tam</v>
          </cell>
          <cell r="F162">
            <v>652.45000000000005</v>
          </cell>
        </row>
        <row r="163">
          <cell r="A163" t="str">
            <v>M621</v>
          </cell>
          <cell r="B163" t="str">
            <v>Desmoldante</v>
          </cell>
          <cell r="C163" t="str">
            <v>kg</v>
          </cell>
          <cell r="D163">
            <v>3.1371000000000002</v>
          </cell>
          <cell r="E163" t="str">
            <v>tam</v>
          </cell>
          <cell r="F163">
            <v>693.3</v>
          </cell>
        </row>
        <row r="164">
          <cell r="A164" t="str">
            <v>M622</v>
          </cell>
          <cell r="B164" t="str">
            <v>Interplast N</v>
          </cell>
          <cell r="C164" t="str">
            <v>kg</v>
          </cell>
          <cell r="D164">
            <v>4.7584999999999997</v>
          </cell>
          <cell r="E164" t="str">
            <v>sc</v>
          </cell>
          <cell r="F164">
            <v>95.17</v>
          </cell>
        </row>
        <row r="165">
          <cell r="A165" t="str">
            <v>M623</v>
          </cell>
          <cell r="B165" t="str">
            <v>Gás propano</v>
          </cell>
          <cell r="C165" t="str">
            <v>kg</v>
          </cell>
          <cell r="D165">
            <v>2.2400000000000002</v>
          </cell>
          <cell r="E165" t="str">
            <v>kg</v>
          </cell>
          <cell r="F165">
            <v>2.2400000000000002</v>
          </cell>
        </row>
        <row r="166">
          <cell r="A166" t="str">
            <v>M624</v>
          </cell>
          <cell r="B166" t="str">
            <v>Tinta para pré-marcação</v>
          </cell>
          <cell r="C166" t="str">
            <v>l</v>
          </cell>
          <cell r="D166">
            <v>6.2</v>
          </cell>
          <cell r="E166" t="str">
            <v>l</v>
          </cell>
          <cell r="F166">
            <v>6.2</v>
          </cell>
        </row>
        <row r="167">
          <cell r="A167" t="str">
            <v>M625</v>
          </cell>
          <cell r="B167" t="str">
            <v>Acetileno</v>
          </cell>
          <cell r="C167" t="str">
            <v>m3</v>
          </cell>
          <cell r="D167">
            <v>18.190000000000001</v>
          </cell>
          <cell r="E167" t="str">
            <v>m3</v>
          </cell>
          <cell r="F167">
            <v>18.190000000000001</v>
          </cell>
        </row>
        <row r="168">
          <cell r="A168" t="str">
            <v>M626</v>
          </cell>
          <cell r="B168" t="str">
            <v>Oxigênio</v>
          </cell>
          <cell r="C168" t="str">
            <v>m3</v>
          </cell>
          <cell r="D168">
            <v>7.2880000000000003</v>
          </cell>
          <cell r="E168" t="str">
            <v>m3</v>
          </cell>
          <cell r="F168">
            <v>7.29</v>
          </cell>
        </row>
        <row r="169">
          <cell r="A169" t="str">
            <v>M700</v>
          </cell>
          <cell r="B169" t="str">
            <v>Tijolo comum maciço (5,5x9x19) cm</v>
          </cell>
          <cell r="C169" t="str">
            <v>un</v>
          </cell>
          <cell r="D169">
            <v>0.14000000000000001</v>
          </cell>
          <cell r="E169" t="str">
            <v>mlh</v>
          </cell>
          <cell r="F169">
            <v>140</v>
          </cell>
        </row>
        <row r="170">
          <cell r="A170" t="str">
            <v>M702</v>
          </cell>
          <cell r="B170" t="str">
            <v>Cal hidratada</v>
          </cell>
          <cell r="C170" t="str">
            <v>kg</v>
          </cell>
          <cell r="D170">
            <v>0.12</v>
          </cell>
          <cell r="E170" t="str">
            <v>sc</v>
          </cell>
          <cell r="F170">
            <v>2.4</v>
          </cell>
        </row>
        <row r="171">
          <cell r="A171" t="str">
            <v>M703</v>
          </cell>
          <cell r="B171" t="str">
            <v>Tijolo 20 x 30 cm</v>
          </cell>
          <cell r="C171" t="str">
            <v>un</v>
          </cell>
          <cell r="D171">
            <v>0.1</v>
          </cell>
          <cell r="E171" t="str">
            <v>mlh</v>
          </cell>
          <cell r="F171">
            <v>100</v>
          </cell>
        </row>
        <row r="172">
          <cell r="A172" t="str">
            <v>M704</v>
          </cell>
          <cell r="B172" t="str">
            <v>Areia lavada</v>
          </cell>
          <cell r="C172" t="str">
            <v>m3</v>
          </cell>
          <cell r="D172">
            <v>6</v>
          </cell>
          <cell r="E172" t="str">
            <v>m3</v>
          </cell>
          <cell r="F172">
            <v>6</v>
          </cell>
        </row>
        <row r="173">
          <cell r="A173" t="str">
            <v>M705</v>
          </cell>
          <cell r="B173" t="str">
            <v>Pó de pedra</v>
          </cell>
          <cell r="C173" t="str">
            <v>m3</v>
          </cell>
          <cell r="D173">
            <v>8</v>
          </cell>
          <cell r="E173" t="str">
            <v>m3</v>
          </cell>
          <cell r="F173">
            <v>8</v>
          </cell>
        </row>
        <row r="174">
          <cell r="A174" t="str">
            <v>M709</v>
          </cell>
          <cell r="B174" t="str">
            <v>Brita corrida</v>
          </cell>
          <cell r="C174" t="str">
            <v>m3</v>
          </cell>
          <cell r="D174">
            <v>18</v>
          </cell>
          <cell r="E174" t="str">
            <v>m3</v>
          </cell>
          <cell r="F174">
            <v>18</v>
          </cell>
        </row>
        <row r="175">
          <cell r="A175" t="str">
            <v>M710</v>
          </cell>
          <cell r="B175" t="str">
            <v>Pedra de mão</v>
          </cell>
          <cell r="C175" t="str">
            <v>m3</v>
          </cell>
          <cell r="D175">
            <v>15</v>
          </cell>
          <cell r="E175" t="str">
            <v>m3</v>
          </cell>
          <cell r="F175">
            <v>15</v>
          </cell>
        </row>
        <row r="176">
          <cell r="A176" t="str">
            <v>M715</v>
          </cell>
          <cell r="B176" t="str">
            <v>Pó calcário dolomítico</v>
          </cell>
          <cell r="C176" t="str">
            <v>kg</v>
          </cell>
          <cell r="D176">
            <v>0.08</v>
          </cell>
          <cell r="E176" t="str">
            <v>kg</v>
          </cell>
          <cell r="F176">
            <v>0.08</v>
          </cell>
        </row>
        <row r="177">
          <cell r="A177" t="str">
            <v>M901</v>
          </cell>
          <cell r="B177" t="str">
            <v>Aparelho de apoio neoprene fretado</v>
          </cell>
          <cell r="C177" t="str">
            <v>dm3</v>
          </cell>
          <cell r="D177">
            <v>62.95</v>
          </cell>
          <cell r="E177" t="str">
            <v>dm3</v>
          </cell>
          <cell r="F177">
            <v>62.95</v>
          </cell>
        </row>
        <row r="178">
          <cell r="A178" t="str">
            <v>M902</v>
          </cell>
          <cell r="B178" t="str">
            <v>Tubo de PVC D=75 mm</v>
          </cell>
          <cell r="C178" t="str">
            <v>m</v>
          </cell>
          <cell r="D178">
            <v>2.57</v>
          </cell>
          <cell r="E178" t="str">
            <v>vr</v>
          </cell>
          <cell r="F178">
            <v>15.42</v>
          </cell>
        </row>
        <row r="179">
          <cell r="A179" t="str">
            <v>M903</v>
          </cell>
          <cell r="B179" t="str">
            <v>Manta sintética (Bidim) OP-20</v>
          </cell>
          <cell r="C179" t="str">
            <v>m2</v>
          </cell>
          <cell r="D179">
            <v>3.15</v>
          </cell>
          <cell r="E179" t="str">
            <v>m2</v>
          </cell>
          <cell r="F179">
            <v>3.15</v>
          </cell>
        </row>
        <row r="180">
          <cell r="A180" t="str">
            <v>M904</v>
          </cell>
          <cell r="B180" t="str">
            <v>Manta sintética (Bidim) OP-30</v>
          </cell>
          <cell r="C180" t="str">
            <v>m2</v>
          </cell>
          <cell r="D180">
            <v>2.95</v>
          </cell>
          <cell r="E180" t="str">
            <v>m2</v>
          </cell>
          <cell r="F180">
            <v>2.95</v>
          </cell>
        </row>
        <row r="181">
          <cell r="A181" t="str">
            <v>M905</v>
          </cell>
          <cell r="B181" t="str">
            <v>Filler</v>
          </cell>
          <cell r="C181" t="str">
            <v>kg</v>
          </cell>
          <cell r="D181">
            <v>0.06</v>
          </cell>
          <cell r="E181" t="str">
            <v>kg</v>
          </cell>
          <cell r="F181">
            <v>0.06</v>
          </cell>
        </row>
        <row r="182">
          <cell r="A182" t="str">
            <v>M906</v>
          </cell>
          <cell r="B182" t="str">
            <v>Sementes p/ hidrossemeadura</v>
          </cell>
          <cell r="C182" t="str">
            <v>kg</v>
          </cell>
          <cell r="D182">
            <v>12.5</v>
          </cell>
          <cell r="E182" t="str">
            <v>kg</v>
          </cell>
          <cell r="F182">
            <v>12.5</v>
          </cell>
        </row>
        <row r="183">
          <cell r="A183" t="str">
            <v>M907</v>
          </cell>
          <cell r="B183" t="str">
            <v>Adubo orgânico</v>
          </cell>
          <cell r="C183" t="str">
            <v>kg</v>
          </cell>
          <cell r="D183">
            <v>0.23</v>
          </cell>
          <cell r="E183" t="str">
            <v>t</v>
          </cell>
          <cell r="F183">
            <v>230</v>
          </cell>
        </row>
        <row r="184">
          <cell r="A184" t="str">
            <v>M908</v>
          </cell>
          <cell r="B184" t="str">
            <v>Eletrodo p/ solda eletr. OK 46.00</v>
          </cell>
          <cell r="C184" t="str">
            <v>kg</v>
          </cell>
          <cell r="D184">
            <v>4.4000000000000004</v>
          </cell>
          <cell r="E184" t="str">
            <v>kg</v>
          </cell>
          <cell r="F184">
            <v>4.4000000000000004</v>
          </cell>
        </row>
        <row r="185">
          <cell r="A185" t="str">
            <v>M909</v>
          </cell>
          <cell r="B185" t="str">
            <v>Tubo de PVC perfurado D=50 mm</v>
          </cell>
          <cell r="C185" t="str">
            <v>m</v>
          </cell>
          <cell r="D185">
            <v>1.9</v>
          </cell>
          <cell r="E185" t="str">
            <v>vr</v>
          </cell>
          <cell r="F185">
            <v>11.4</v>
          </cell>
        </row>
        <row r="186">
          <cell r="A186" t="str">
            <v>M910</v>
          </cell>
          <cell r="B186" t="str">
            <v>Tubo de PVC rígido D=50 mm</v>
          </cell>
          <cell r="C186" t="str">
            <v>m</v>
          </cell>
          <cell r="D186">
            <v>2.98</v>
          </cell>
          <cell r="E186" t="str">
            <v>vr</v>
          </cell>
          <cell r="F186">
            <v>17.88</v>
          </cell>
        </row>
        <row r="187">
          <cell r="A187" t="str">
            <v>M911</v>
          </cell>
          <cell r="B187" t="str">
            <v>Tubo de PVC D=100 mm</v>
          </cell>
          <cell r="C187" t="str">
            <v>m</v>
          </cell>
          <cell r="D187">
            <v>3.2</v>
          </cell>
          <cell r="E187" t="str">
            <v>vr</v>
          </cell>
          <cell r="F187">
            <v>19.2</v>
          </cell>
        </row>
        <row r="188">
          <cell r="A188" t="str">
            <v>M920</v>
          </cell>
          <cell r="B188" t="str">
            <v>Meio tubo de concreto D=40 cm</v>
          </cell>
          <cell r="C188" t="str">
            <v>m</v>
          </cell>
          <cell r="D188">
            <v>14</v>
          </cell>
          <cell r="E188" t="str">
            <v>m</v>
          </cell>
          <cell r="F188">
            <v>14</v>
          </cell>
        </row>
        <row r="189">
          <cell r="A189" t="str">
            <v>M930</v>
          </cell>
          <cell r="B189" t="str">
            <v>Gabião caixa 2x1x1m galvanizado</v>
          </cell>
          <cell r="C189" t="str">
            <v>un</v>
          </cell>
          <cell r="D189">
            <v>88.5</v>
          </cell>
          <cell r="E189" t="str">
            <v>un</v>
          </cell>
          <cell r="F189">
            <v>88.5</v>
          </cell>
        </row>
        <row r="190">
          <cell r="A190" t="str">
            <v>M935</v>
          </cell>
          <cell r="B190" t="str">
            <v>Terra arm. ECE - greide 0&lt;h&lt;6m</v>
          </cell>
          <cell r="C190" t="str">
            <v>m2</v>
          </cell>
          <cell r="D190">
            <v>86.67</v>
          </cell>
          <cell r="E190" t="str">
            <v>m2</v>
          </cell>
          <cell r="F190">
            <v>86.67</v>
          </cell>
        </row>
        <row r="191">
          <cell r="A191" t="str">
            <v>M936</v>
          </cell>
          <cell r="B191" t="str">
            <v>Terra arm. ECE - greide 6&lt;h&lt;9m</v>
          </cell>
          <cell r="C191" t="str">
            <v>m2</v>
          </cell>
          <cell r="D191">
            <v>111.85</v>
          </cell>
          <cell r="E191" t="str">
            <v>m2</v>
          </cell>
          <cell r="F191">
            <v>111.85</v>
          </cell>
        </row>
        <row r="192">
          <cell r="A192" t="str">
            <v>M937</v>
          </cell>
          <cell r="B192" t="str">
            <v>Terra arm. ECE - greide 9&lt;h&lt;12m</v>
          </cell>
          <cell r="C192" t="str">
            <v>m2</v>
          </cell>
          <cell r="D192">
            <v>162.96</v>
          </cell>
          <cell r="E192" t="str">
            <v>m2</v>
          </cell>
          <cell r="F192">
            <v>162.96</v>
          </cell>
        </row>
        <row r="193">
          <cell r="A193" t="str">
            <v>M938</v>
          </cell>
          <cell r="B193" t="str">
            <v>Terra arm. ECE- pé talude 0&lt;h&lt;6m</v>
          </cell>
          <cell r="C193" t="str">
            <v>m2</v>
          </cell>
          <cell r="D193">
            <v>99.26</v>
          </cell>
          <cell r="E193" t="str">
            <v>m2</v>
          </cell>
          <cell r="F193">
            <v>99.26</v>
          </cell>
        </row>
        <row r="194">
          <cell r="A194" t="str">
            <v>M939</v>
          </cell>
          <cell r="B194" t="str">
            <v>Terra arm. ECE- pé talude 6&lt;h&lt;9m</v>
          </cell>
          <cell r="C194" t="str">
            <v>m2</v>
          </cell>
          <cell r="D194">
            <v>137.04</v>
          </cell>
          <cell r="E194" t="str">
            <v>m2</v>
          </cell>
          <cell r="F194">
            <v>137.04</v>
          </cell>
        </row>
        <row r="195">
          <cell r="A195" t="str">
            <v>M940</v>
          </cell>
          <cell r="B195" t="str">
            <v>Terra arm. ECE- pé talude 9&lt;h&lt;12m</v>
          </cell>
          <cell r="C195" t="str">
            <v>m2</v>
          </cell>
          <cell r="D195">
            <v>199.26</v>
          </cell>
          <cell r="E195" t="str">
            <v>m2</v>
          </cell>
          <cell r="F195">
            <v>199.26</v>
          </cell>
        </row>
        <row r="196">
          <cell r="A196" t="str">
            <v>M941</v>
          </cell>
          <cell r="B196" t="str">
            <v>Terra arm. ECE-enc. portante 0&lt;h&lt;6m</v>
          </cell>
          <cell r="C196" t="str">
            <v>m2</v>
          </cell>
          <cell r="D196">
            <v>173.33</v>
          </cell>
          <cell r="E196" t="str">
            <v>m2</v>
          </cell>
          <cell r="F196">
            <v>173.33</v>
          </cell>
        </row>
        <row r="197">
          <cell r="A197" t="str">
            <v>M942</v>
          </cell>
          <cell r="B197" t="str">
            <v>Terra arm. ECE-enc. portante 6&lt;h&lt;9m</v>
          </cell>
          <cell r="C197" t="str">
            <v>m2</v>
          </cell>
          <cell r="D197">
            <v>223.7</v>
          </cell>
          <cell r="E197" t="str">
            <v>m2</v>
          </cell>
          <cell r="F197">
            <v>223.7</v>
          </cell>
        </row>
        <row r="198">
          <cell r="A198" t="str">
            <v>M945</v>
          </cell>
          <cell r="B198" t="str">
            <v>Haste para perfuratriz de esteira</v>
          </cell>
          <cell r="C198" t="str">
            <v>un</v>
          </cell>
          <cell r="D198">
            <v>470</v>
          </cell>
          <cell r="E198" t="str">
            <v>un</v>
          </cell>
          <cell r="F198">
            <v>470</v>
          </cell>
        </row>
        <row r="199">
          <cell r="A199" t="str">
            <v>M946</v>
          </cell>
          <cell r="B199" t="str">
            <v>Luva para perfuratriz de esteira</v>
          </cell>
          <cell r="C199" t="str">
            <v>un</v>
          </cell>
          <cell r="D199">
            <v>103</v>
          </cell>
          <cell r="E199" t="str">
            <v>un</v>
          </cell>
          <cell r="F199">
            <v>103</v>
          </cell>
        </row>
        <row r="200">
          <cell r="A200" t="str">
            <v>M947</v>
          </cell>
          <cell r="B200" t="str">
            <v>Punho para perfuratriz de esteira</v>
          </cell>
          <cell r="C200" t="str">
            <v>un</v>
          </cell>
          <cell r="D200">
            <v>301.51</v>
          </cell>
          <cell r="E200" t="str">
            <v>un</v>
          </cell>
          <cell r="F200">
            <v>301.51</v>
          </cell>
        </row>
        <row r="201">
          <cell r="A201" t="str">
            <v>M948</v>
          </cell>
          <cell r="B201" t="str">
            <v>Coroa para perfuratriz de esteira</v>
          </cell>
          <cell r="C201" t="str">
            <v>un</v>
          </cell>
          <cell r="D201">
            <v>490</v>
          </cell>
          <cell r="E201" t="str">
            <v>un</v>
          </cell>
          <cell r="F201">
            <v>490</v>
          </cell>
        </row>
        <row r="202">
          <cell r="A202" t="str">
            <v>M949</v>
          </cell>
          <cell r="B202" t="str">
            <v>Disco diam. p/ máq. de disco 48kW</v>
          </cell>
          <cell r="C202" t="str">
            <v>un</v>
          </cell>
          <cell r="D202">
            <v>589</v>
          </cell>
          <cell r="E202" t="str">
            <v>un</v>
          </cell>
          <cell r="F202">
            <v>589</v>
          </cell>
        </row>
        <row r="203">
          <cell r="A203" t="str">
            <v>M950</v>
          </cell>
          <cell r="B203" t="str">
            <v>Coroa de diamante linha NX</v>
          </cell>
          <cell r="C203" t="str">
            <v>un</v>
          </cell>
          <cell r="D203">
            <v>285.12</v>
          </cell>
          <cell r="E203" t="str">
            <v>un</v>
          </cell>
          <cell r="F203">
            <v>285.12</v>
          </cell>
        </row>
        <row r="204">
          <cell r="A204" t="str">
            <v>M951</v>
          </cell>
          <cell r="B204" t="str">
            <v>Calibrador de diamante linha NX</v>
          </cell>
          <cell r="C204" t="str">
            <v>un</v>
          </cell>
          <cell r="D204">
            <v>293.76</v>
          </cell>
          <cell r="E204" t="str">
            <v>un</v>
          </cell>
          <cell r="F204">
            <v>293.76</v>
          </cell>
        </row>
        <row r="205">
          <cell r="A205" t="str">
            <v>M952</v>
          </cell>
          <cell r="B205" t="str">
            <v>Mola comum linha NX</v>
          </cell>
          <cell r="C205" t="str">
            <v>un</v>
          </cell>
          <cell r="D205">
            <v>16.2</v>
          </cell>
          <cell r="E205" t="str">
            <v>un</v>
          </cell>
          <cell r="F205">
            <v>16.2</v>
          </cell>
        </row>
        <row r="206">
          <cell r="A206" t="str">
            <v>M953</v>
          </cell>
          <cell r="B206" t="str">
            <v>Barrilete simples linha NX</v>
          </cell>
          <cell r="C206" t="str">
            <v>un</v>
          </cell>
          <cell r="D206">
            <v>142.56</v>
          </cell>
          <cell r="E206" t="str">
            <v>un</v>
          </cell>
          <cell r="F206">
            <v>142.56</v>
          </cell>
        </row>
        <row r="207">
          <cell r="A207" t="str">
            <v>M954</v>
          </cell>
          <cell r="B207" t="str">
            <v>Haste paredes paraleleas c/ niples</v>
          </cell>
          <cell r="C207" t="str">
            <v>un</v>
          </cell>
          <cell r="D207">
            <v>176.04</v>
          </cell>
          <cell r="E207" t="str">
            <v>un</v>
          </cell>
          <cell r="F207">
            <v>176.04</v>
          </cell>
        </row>
        <row r="208">
          <cell r="A208" t="str">
            <v>M955</v>
          </cell>
          <cell r="B208" t="str">
            <v>Coroa de widia linha NX</v>
          </cell>
          <cell r="C208" t="str">
            <v>un</v>
          </cell>
          <cell r="D208">
            <v>76.680000000000007</v>
          </cell>
          <cell r="E208" t="str">
            <v>un</v>
          </cell>
          <cell r="F208">
            <v>76.680000000000007</v>
          </cell>
        </row>
        <row r="209">
          <cell r="A209" t="str">
            <v>M956</v>
          </cell>
          <cell r="B209" t="str">
            <v>Sapata de widia linha NX</v>
          </cell>
          <cell r="C209" t="str">
            <v>un</v>
          </cell>
          <cell r="D209">
            <v>70.2</v>
          </cell>
          <cell r="E209" t="str">
            <v>un</v>
          </cell>
          <cell r="F209">
            <v>70.2</v>
          </cell>
        </row>
        <row r="210">
          <cell r="A210" t="str">
            <v>M957</v>
          </cell>
          <cell r="B210" t="str">
            <v>Revestimento c/ conector linha NX</v>
          </cell>
          <cell r="C210" t="str">
            <v>un</v>
          </cell>
          <cell r="D210">
            <v>108</v>
          </cell>
          <cell r="E210" t="str">
            <v>un</v>
          </cell>
          <cell r="F210">
            <v>108</v>
          </cell>
        </row>
        <row r="211">
          <cell r="A211" t="str">
            <v>M958</v>
          </cell>
          <cell r="B211" t="str">
            <v>Calibrador de widia simples linh NX</v>
          </cell>
          <cell r="C211" t="str">
            <v>un</v>
          </cell>
          <cell r="D211">
            <v>76.680000000000007</v>
          </cell>
          <cell r="E211" t="str">
            <v>un</v>
          </cell>
          <cell r="F211">
            <v>76.680000000000007</v>
          </cell>
        </row>
        <row r="212">
          <cell r="A212" t="str">
            <v>M960</v>
          </cell>
          <cell r="B212" t="str">
            <v>Fio de nylon n. 40</v>
          </cell>
          <cell r="C212" t="str">
            <v>m</v>
          </cell>
          <cell r="D212">
            <v>0.03</v>
          </cell>
          <cell r="E212" t="str">
            <v>rl</v>
          </cell>
          <cell r="F212">
            <v>3</v>
          </cell>
        </row>
        <row r="213">
          <cell r="A213" t="str">
            <v>M969</v>
          </cell>
          <cell r="B213" t="str">
            <v>Película refletiva lentes expostas</v>
          </cell>
          <cell r="C213" t="str">
            <v>m2</v>
          </cell>
          <cell r="D213">
            <v>71.53</v>
          </cell>
          <cell r="E213" t="str">
            <v>m2</v>
          </cell>
          <cell r="F213">
            <v>71.53</v>
          </cell>
        </row>
        <row r="214">
          <cell r="A214" t="str">
            <v>M970</v>
          </cell>
          <cell r="B214" t="str">
            <v>Película refletiva lentes inclusas</v>
          </cell>
          <cell r="C214" t="str">
            <v>m2</v>
          </cell>
          <cell r="D214">
            <v>69.31</v>
          </cell>
          <cell r="E214" t="str">
            <v>m2</v>
          </cell>
          <cell r="F214">
            <v>69.31</v>
          </cell>
        </row>
        <row r="215">
          <cell r="A215" t="str">
            <v>M971</v>
          </cell>
          <cell r="B215" t="str">
            <v>Dispositivo anti-ofuscante</v>
          </cell>
          <cell r="C215" t="str">
            <v>m</v>
          </cell>
          <cell r="D215">
            <v>52</v>
          </cell>
          <cell r="E215" t="str">
            <v>m</v>
          </cell>
          <cell r="F215">
            <v>52</v>
          </cell>
        </row>
        <row r="216">
          <cell r="A216" t="str">
            <v>M972</v>
          </cell>
          <cell r="B216" t="str">
            <v>Tacha refletiva monodirecional</v>
          </cell>
          <cell r="C216" t="str">
            <v>un</v>
          </cell>
          <cell r="D216">
            <v>3.8</v>
          </cell>
          <cell r="E216" t="str">
            <v>un</v>
          </cell>
          <cell r="F216">
            <v>3.8</v>
          </cell>
        </row>
        <row r="217">
          <cell r="A217" t="str">
            <v>M973</v>
          </cell>
          <cell r="B217" t="str">
            <v>Tacha refletiva bidirecional</v>
          </cell>
          <cell r="C217" t="str">
            <v>un</v>
          </cell>
          <cell r="D217">
            <v>4.2</v>
          </cell>
          <cell r="E217" t="str">
            <v>un</v>
          </cell>
          <cell r="F217">
            <v>4.2</v>
          </cell>
        </row>
        <row r="218">
          <cell r="A218" t="str">
            <v>M974</v>
          </cell>
          <cell r="B218" t="str">
            <v>Tachão refletivo monodirecional</v>
          </cell>
          <cell r="C218" t="str">
            <v>un</v>
          </cell>
          <cell r="D218">
            <v>9.5</v>
          </cell>
          <cell r="E218" t="str">
            <v>un</v>
          </cell>
          <cell r="F218">
            <v>9.5</v>
          </cell>
        </row>
        <row r="219">
          <cell r="A219" t="str">
            <v>M975</v>
          </cell>
          <cell r="B219" t="str">
            <v>Tachão refletivo bidirecional</v>
          </cell>
          <cell r="C219" t="str">
            <v>un</v>
          </cell>
          <cell r="D219">
            <v>10.5</v>
          </cell>
          <cell r="E219" t="str">
            <v>un</v>
          </cell>
          <cell r="F219">
            <v>10.5</v>
          </cell>
        </row>
        <row r="220">
          <cell r="A220" t="str">
            <v>M976</v>
          </cell>
          <cell r="B220" t="str">
            <v>Baguete limitador de polietileno</v>
          </cell>
          <cell r="C220" t="str">
            <v>m</v>
          </cell>
          <cell r="D220">
            <v>0.56000000000000005</v>
          </cell>
          <cell r="E220" t="str">
            <v>m</v>
          </cell>
          <cell r="F220">
            <v>0.56000000000000005</v>
          </cell>
        </row>
        <row r="221">
          <cell r="A221" t="str">
            <v>M977</v>
          </cell>
          <cell r="B221" t="str">
            <v>Selante asfáltico polimerizado</v>
          </cell>
          <cell r="C221" t="str">
            <v>l</v>
          </cell>
          <cell r="D221">
            <v>24.68</v>
          </cell>
          <cell r="E221" t="str">
            <v>l</v>
          </cell>
          <cell r="F221">
            <v>24.68</v>
          </cell>
        </row>
        <row r="222">
          <cell r="A222" t="str">
            <v>M980</v>
          </cell>
          <cell r="B222" t="str">
            <v>Indenização de jazida</v>
          </cell>
          <cell r="C222" t="str">
            <v>m3</v>
          </cell>
          <cell r="D222">
            <v>0.84</v>
          </cell>
          <cell r="E222" t="str">
            <v>m3</v>
          </cell>
          <cell r="F222">
            <v>0.84</v>
          </cell>
        </row>
        <row r="223">
          <cell r="A223" t="str">
            <v>M982</v>
          </cell>
          <cell r="B223" t="str">
            <v>Isopor de 5cm de espessura</v>
          </cell>
          <cell r="C223" t="str">
            <v>m2</v>
          </cell>
          <cell r="D223">
            <v>5</v>
          </cell>
          <cell r="E223" t="str">
            <v>m2</v>
          </cell>
          <cell r="F223">
            <v>5</v>
          </cell>
        </row>
        <row r="224">
          <cell r="A224" t="str">
            <v>M983</v>
          </cell>
          <cell r="B224" t="str">
            <v>Disco diam. p/ máq. de disco 6kW</v>
          </cell>
          <cell r="C224" t="str">
            <v>un</v>
          </cell>
          <cell r="D224">
            <v>300</v>
          </cell>
          <cell r="E224" t="str">
            <v>un</v>
          </cell>
          <cell r="F224">
            <v>300</v>
          </cell>
        </row>
        <row r="225">
          <cell r="A225" t="str">
            <v>M984</v>
          </cell>
          <cell r="B225" t="str">
            <v>Chumbadores</v>
          </cell>
          <cell r="C225" t="str">
            <v>kg</v>
          </cell>
          <cell r="D225">
            <v>10.433299999999999</v>
          </cell>
          <cell r="E225" t="str">
            <v>pç</v>
          </cell>
          <cell r="F225">
            <v>3.13</v>
          </cell>
        </row>
        <row r="226">
          <cell r="A226" t="str">
            <v>M985</v>
          </cell>
          <cell r="B226" t="str">
            <v>Tubo plástico para purgadores</v>
          </cell>
          <cell r="C226" t="str">
            <v>m</v>
          </cell>
          <cell r="D226">
            <v>1.41</v>
          </cell>
          <cell r="E226" t="str">
            <v>m</v>
          </cell>
          <cell r="F226">
            <v>1.41</v>
          </cell>
        </row>
        <row r="227">
          <cell r="A227" t="str">
            <v>M996</v>
          </cell>
          <cell r="B227" t="str">
            <v>Material Demolido</v>
          </cell>
          <cell r="C227" t="str">
            <v>t</v>
          </cell>
          <cell r="D227">
            <v>0</v>
          </cell>
          <cell r="E227" t="str">
            <v>t</v>
          </cell>
          <cell r="F227">
            <v>0</v>
          </cell>
        </row>
        <row r="228">
          <cell r="A228" t="str">
            <v>M997</v>
          </cell>
          <cell r="B228" t="str">
            <v>Material Fresado</v>
          </cell>
          <cell r="C228" t="str">
            <v>t</v>
          </cell>
          <cell r="D228">
            <v>0</v>
          </cell>
          <cell r="E228" t="str">
            <v>t</v>
          </cell>
          <cell r="F228">
            <v>0</v>
          </cell>
        </row>
        <row r="229">
          <cell r="A229" t="str">
            <v>M998</v>
          </cell>
          <cell r="B229" t="str">
            <v>Madeira</v>
          </cell>
          <cell r="C229" t="str">
            <v>t</v>
          </cell>
          <cell r="D229">
            <v>0</v>
          </cell>
          <cell r="E229" t="str">
            <v>t</v>
          </cell>
          <cell r="F229">
            <v>0</v>
          </cell>
        </row>
        <row r="230">
          <cell r="A230" t="str">
            <v>M999</v>
          </cell>
          <cell r="B230" t="str">
            <v>Material retirado da pista</v>
          </cell>
          <cell r="C230" t="str">
            <v>t</v>
          </cell>
          <cell r="D230">
            <v>0</v>
          </cell>
          <cell r="E230" t="str">
            <v>t</v>
          </cell>
          <cell r="F230">
            <v>0</v>
          </cell>
        </row>
      </sheetData>
      <sheetData sheetId="20" refreshError="1">
        <row r="1">
          <cell r="A1" t="str">
            <v>E001</v>
          </cell>
          <cell r="B1" t="str">
            <v xml:space="preserve">Trator de Esteiras: D4E-PS/4A - com lâmina  </v>
          </cell>
          <cell r="C1" t="str">
            <v xml:space="preserve"> Diesel</v>
          </cell>
          <cell r="D1">
            <v>5.4363000000000001</v>
          </cell>
          <cell r="E1">
            <v>53.947299999999998</v>
          </cell>
        </row>
        <row r="2">
          <cell r="A2" t="str">
            <v>E002</v>
          </cell>
          <cell r="B2" t="str">
            <v xml:space="preserve">Trator de Esteiras: D6M-XL/6A - com lâmina  </v>
          </cell>
          <cell r="C2" t="str">
            <v xml:space="preserve"> Diesel</v>
          </cell>
          <cell r="D2">
            <v>5.4363000000000001</v>
          </cell>
          <cell r="E2">
            <v>77.576700000000002</v>
          </cell>
        </row>
        <row r="3">
          <cell r="A3" t="str">
            <v>E003</v>
          </cell>
          <cell r="B3" t="str">
            <v xml:space="preserve">Trator de Esteiras: D8R - com lâmina  </v>
          </cell>
          <cell r="C3" t="str">
            <v xml:space="preserve"> Diesel</v>
          </cell>
          <cell r="D3">
            <v>5.4363000000000001</v>
          </cell>
          <cell r="E3">
            <v>144.51490000000001</v>
          </cell>
        </row>
        <row r="4">
          <cell r="A4" t="str">
            <v>E005</v>
          </cell>
          <cell r="B4" t="str">
            <v xml:space="preserve">Motoscraper: 621F -   </v>
          </cell>
          <cell r="C4" t="str">
            <v xml:space="preserve"> Diesel</v>
          </cell>
          <cell r="D4">
            <v>5.4363000000000001</v>
          </cell>
          <cell r="E4">
            <v>158.85830000000001</v>
          </cell>
        </row>
        <row r="5">
          <cell r="A5" t="str">
            <v>E006</v>
          </cell>
          <cell r="B5" t="str">
            <v xml:space="preserve">Motoniveladora: 120G -   </v>
          </cell>
          <cell r="C5" t="str">
            <v xml:space="preserve"> Diesel</v>
          </cell>
          <cell r="D5">
            <v>5.7469999999999999</v>
          </cell>
          <cell r="E5">
            <v>52.1905</v>
          </cell>
        </row>
        <row r="6">
          <cell r="A6" t="str">
            <v>E007</v>
          </cell>
          <cell r="B6" t="str">
            <v xml:space="preserve">Trator Agrícola: 620/4 - 80 a 115 hp  </v>
          </cell>
          <cell r="C6" t="str">
            <v xml:space="preserve"> Diesel</v>
          </cell>
          <cell r="D6">
            <v>4.1938000000000004</v>
          </cell>
          <cell r="E6">
            <v>27.098500000000001</v>
          </cell>
        </row>
        <row r="7">
          <cell r="A7" t="str">
            <v>E008</v>
          </cell>
          <cell r="B7" t="str">
            <v xml:space="preserve">Escavadeira Hidráulica: 888-CKE - com drag line 760 l  </v>
          </cell>
          <cell r="C7" t="str">
            <v xml:space="preserve"> Diesel</v>
          </cell>
          <cell r="D7">
            <v>5.7469999999999999</v>
          </cell>
          <cell r="E7">
            <v>60.406999999999996</v>
          </cell>
        </row>
        <row r="8">
          <cell r="A8" t="str">
            <v>E009</v>
          </cell>
          <cell r="B8" t="str">
            <v xml:space="preserve">Carregadeira de Pneus: 924F - 1,72 m3  </v>
          </cell>
          <cell r="C8" t="str">
            <v xml:space="preserve"> Diesel</v>
          </cell>
          <cell r="D8">
            <v>5.4363000000000001</v>
          </cell>
          <cell r="E8">
            <v>41.526699999999998</v>
          </cell>
        </row>
        <row r="9">
          <cell r="A9" t="str">
            <v>E010</v>
          </cell>
          <cell r="B9" t="str">
            <v xml:space="preserve">Carregadeira de Pneus: 950F - 3,1 m3  </v>
          </cell>
          <cell r="C9" t="str">
            <v xml:space="preserve"> Diesel</v>
          </cell>
          <cell r="D9">
            <v>5.4363000000000001</v>
          </cell>
          <cell r="E9">
            <v>68.135400000000004</v>
          </cell>
        </row>
        <row r="10">
          <cell r="A10" t="str">
            <v>E011</v>
          </cell>
          <cell r="B10" t="str">
            <v xml:space="preserve">Retroescavadeira: MF-86HD -   </v>
          </cell>
          <cell r="C10" t="str">
            <v xml:space="preserve"> Diesel</v>
          </cell>
          <cell r="D10">
            <v>5.4363000000000001</v>
          </cell>
          <cell r="E10">
            <v>32.604300000000002</v>
          </cell>
        </row>
        <row r="11">
          <cell r="A11" t="str">
            <v>E012</v>
          </cell>
          <cell r="B11" t="str">
            <v xml:space="preserve">Rolo Compactador: PC-2 - pé de carneiro reb. 3,45 / 4,6 t  </v>
          </cell>
          <cell r="C11" t="str">
            <v xml:space="preserve"> Não utiliza energia</v>
          </cell>
          <cell r="D11">
            <v>0</v>
          </cell>
          <cell r="E11">
            <v>0.82709999999999995</v>
          </cell>
        </row>
        <row r="12">
          <cell r="A12" t="str">
            <v>E013</v>
          </cell>
          <cell r="B12" t="str">
            <v xml:space="preserve">Rolo Compactador: CA-25-PP - pé de carneiro autop. 11,25t vibrat  </v>
          </cell>
          <cell r="C12" t="str">
            <v xml:space="preserve"> Diesel</v>
          </cell>
          <cell r="D12">
            <v>4.1938000000000004</v>
          </cell>
          <cell r="E12">
            <v>45.536099999999998</v>
          </cell>
        </row>
        <row r="13">
          <cell r="A13" t="str">
            <v>E014</v>
          </cell>
          <cell r="B13" t="str">
            <v xml:space="preserve">Trator de Esteiras: D8R/RB - com escarificador  </v>
          </cell>
          <cell r="C13" t="str">
            <v xml:space="preserve"> Diesel</v>
          </cell>
          <cell r="D13">
            <v>5.4363000000000001</v>
          </cell>
          <cell r="E13">
            <v>145.5427</v>
          </cell>
        </row>
        <row r="14">
          <cell r="A14" t="str">
            <v>E015</v>
          </cell>
          <cell r="B14" t="str">
            <v xml:space="preserve">Motoniveladora: 140G -   </v>
          </cell>
          <cell r="C14" t="str">
            <v xml:space="preserve"> Diesel</v>
          </cell>
          <cell r="D14">
            <v>5.7469999999999999</v>
          </cell>
          <cell r="E14">
            <v>63.596499999999999</v>
          </cell>
        </row>
        <row r="15">
          <cell r="A15" t="str">
            <v>E016</v>
          </cell>
          <cell r="B15" t="str">
            <v xml:space="preserve">Carregadeira de Pneus: W18E J L - 1,33 m3  </v>
          </cell>
          <cell r="C15" t="str">
            <v xml:space="preserve"> Diesel</v>
          </cell>
          <cell r="D15">
            <v>5.4363000000000001</v>
          </cell>
          <cell r="E15">
            <v>35.982300000000002</v>
          </cell>
        </row>
        <row r="16">
          <cell r="A16" t="str">
            <v>E055</v>
          </cell>
          <cell r="B16" t="str">
            <v xml:space="preserve">Rolo Compactador: CP433C - pé de carneiro vibratório  </v>
          </cell>
          <cell r="C16" t="str">
            <v xml:space="preserve"> Diesel</v>
          </cell>
          <cell r="D16">
            <v>4.1938000000000004</v>
          </cell>
          <cell r="E16">
            <v>41.104199999999999</v>
          </cell>
        </row>
        <row r="17">
          <cell r="A17" t="str">
            <v>E056</v>
          </cell>
          <cell r="B17" t="str">
            <v xml:space="preserve">Rolo Compactador: CT-262 - pé de carneiro tamping  </v>
          </cell>
          <cell r="C17" t="str">
            <v xml:space="preserve"> Diesel</v>
          </cell>
          <cell r="D17">
            <v>4.1938000000000004</v>
          </cell>
          <cell r="E17">
            <v>93.690299999999993</v>
          </cell>
        </row>
        <row r="18">
          <cell r="A18" t="str">
            <v>E062</v>
          </cell>
          <cell r="B18" t="str">
            <v xml:space="preserve">Escavadeira Hidráulica: 330 - com esteira - cap. 1,7 m3  </v>
          </cell>
          <cell r="C18" t="str">
            <v xml:space="preserve"> Diesel</v>
          </cell>
          <cell r="D18">
            <v>5.7469999999999999</v>
          </cell>
          <cell r="E18">
            <v>129.6935</v>
          </cell>
        </row>
        <row r="19">
          <cell r="A19" t="str">
            <v>E063</v>
          </cell>
          <cell r="B19" t="str">
            <v xml:space="preserve">Escavadeira Hidráulica: 320L - c/ est. - cap 600l p/ longo alcance  </v>
          </cell>
          <cell r="C19" t="str">
            <v xml:space="preserve"> Diesel</v>
          </cell>
          <cell r="D19">
            <v>5.7469999999999999</v>
          </cell>
          <cell r="E19">
            <v>68.950999999999993</v>
          </cell>
        </row>
        <row r="20">
          <cell r="A20" t="str">
            <v>E065</v>
          </cell>
          <cell r="B20" t="str">
            <v xml:space="preserve">Draga de Sucção: p/ extração de Areia  6"  </v>
          </cell>
          <cell r="C20" t="str">
            <v xml:space="preserve"> Diesel</v>
          </cell>
          <cell r="D20">
            <v>0</v>
          </cell>
          <cell r="E20">
            <v>12.652200000000001</v>
          </cell>
        </row>
        <row r="21">
          <cell r="A21" t="str">
            <v>E066</v>
          </cell>
          <cell r="B21" t="str">
            <v xml:space="preserve">Chata - 25m3: com rebocador  </v>
          </cell>
          <cell r="C21" t="str">
            <v xml:space="preserve"> Diesel</v>
          </cell>
          <cell r="D21">
            <v>5.2809999999999997</v>
          </cell>
          <cell r="E21">
            <v>44.421399999999998</v>
          </cell>
        </row>
        <row r="22">
          <cell r="A22" t="str">
            <v>E101</v>
          </cell>
          <cell r="B22" t="str">
            <v xml:space="preserve">Grade de Discos: GA 24 x 24  </v>
          </cell>
          <cell r="C22" t="str">
            <v xml:space="preserve"> Não utiliza energia</v>
          </cell>
          <cell r="D22">
            <v>0</v>
          </cell>
          <cell r="E22">
            <v>0.94110000000000005</v>
          </cell>
        </row>
        <row r="23">
          <cell r="A23" t="str">
            <v>E102</v>
          </cell>
          <cell r="B23" t="str">
            <v xml:space="preserve">Rolo Compactador: CC-431 - Tanden vibrat. autoprop. 10,9 t  </v>
          </cell>
          <cell r="C23" t="str">
            <v xml:space="preserve"> Diesel</v>
          </cell>
          <cell r="D23">
            <v>4.1938000000000004</v>
          </cell>
          <cell r="E23">
            <v>50.396099999999997</v>
          </cell>
        </row>
        <row r="24">
          <cell r="A24" t="str">
            <v>E103</v>
          </cell>
          <cell r="B24" t="str">
            <v xml:space="preserve">Rolo Compactador: SPV 84 - liso, vibrat. autoprop. 11,6 t  </v>
          </cell>
          <cell r="C24" t="str">
            <v xml:space="preserve"> Diesel</v>
          </cell>
          <cell r="D24">
            <v>4.1938000000000004</v>
          </cell>
          <cell r="E24">
            <v>47.619500000000002</v>
          </cell>
        </row>
        <row r="25">
          <cell r="A25" t="str">
            <v>E104</v>
          </cell>
          <cell r="B25" t="str">
            <v xml:space="preserve">Rolo Compactador: CC-222 - liso, tanden vibrat. autoprop. 7,2  </v>
          </cell>
          <cell r="C25" t="str">
            <v xml:space="preserve"> Diesel</v>
          </cell>
          <cell r="D25">
            <v>4.1938000000000004</v>
          </cell>
          <cell r="E25">
            <v>40.826099999999997</v>
          </cell>
        </row>
        <row r="26">
          <cell r="A26" t="str">
            <v>E105</v>
          </cell>
          <cell r="B26" t="str">
            <v xml:space="preserve">Rolo Compactador: SP 8000 - de pneus autoprop. 21 t  </v>
          </cell>
          <cell r="C26" t="str">
            <v xml:space="preserve"> Diesel</v>
          </cell>
          <cell r="D26">
            <v>4.1938000000000004</v>
          </cell>
          <cell r="E26">
            <v>50.769300000000001</v>
          </cell>
        </row>
        <row r="27">
          <cell r="A27" t="str">
            <v>E106</v>
          </cell>
          <cell r="B27" t="str">
            <v xml:space="preserve">Usina Misturadora: USC-2 - de solos 350 / 600 t/h  </v>
          </cell>
          <cell r="C27" t="str">
            <v xml:space="preserve"> Elétrico</v>
          </cell>
          <cell r="D27">
            <v>5.7469999999999999</v>
          </cell>
          <cell r="E27">
            <v>28.718399999999999</v>
          </cell>
        </row>
        <row r="28">
          <cell r="A28" t="str">
            <v>E107</v>
          </cell>
          <cell r="B28" t="str">
            <v xml:space="preserve">Vassoura Mecânica: rebocável  </v>
          </cell>
          <cell r="C28" t="str">
            <v xml:space="preserve"> Não utiliza energia</v>
          </cell>
          <cell r="D28">
            <v>0</v>
          </cell>
          <cell r="E28">
            <v>2.85</v>
          </cell>
        </row>
        <row r="29">
          <cell r="A29" t="str">
            <v>E108</v>
          </cell>
          <cell r="B29" t="str">
            <v xml:space="preserve">Distribuidor de Agregados: rebocável  </v>
          </cell>
          <cell r="C29" t="str">
            <v xml:space="preserve"> Não utiliza energia</v>
          </cell>
          <cell r="D29">
            <v>0</v>
          </cell>
          <cell r="E29">
            <v>2.1840000000000002</v>
          </cell>
        </row>
        <row r="30">
          <cell r="A30" t="str">
            <v>E109</v>
          </cell>
          <cell r="B30" t="str">
            <v xml:space="preserve">Distribuidor de Agregados: SD-1 - autopropelido  </v>
          </cell>
          <cell r="C30" t="str">
            <v xml:space="preserve"> Diesel</v>
          </cell>
          <cell r="D30">
            <v>5.4363000000000001</v>
          </cell>
          <cell r="E30">
            <v>30.139399999999998</v>
          </cell>
        </row>
        <row r="31">
          <cell r="A31" t="str">
            <v>E110</v>
          </cell>
          <cell r="B31" t="str">
            <v xml:space="preserve">Tanque de Estocagem de Asfalto: 20.000 l  </v>
          </cell>
          <cell r="C31" t="str">
            <v xml:space="preserve"> Não utiliza energia</v>
          </cell>
          <cell r="D31">
            <v>0</v>
          </cell>
          <cell r="E31">
            <v>0.96599999999999997</v>
          </cell>
        </row>
        <row r="32">
          <cell r="A32" t="str">
            <v>E111</v>
          </cell>
          <cell r="B32" t="str">
            <v xml:space="preserve">Equip. Distribuição de Asfalto: montado em caminhão  </v>
          </cell>
          <cell r="C32" t="str">
            <v xml:space="preserve"> Diesel</v>
          </cell>
          <cell r="D32">
            <v>4.9703999999999997</v>
          </cell>
          <cell r="E32">
            <v>42.822899999999997</v>
          </cell>
        </row>
        <row r="33">
          <cell r="A33" t="str">
            <v>E112</v>
          </cell>
          <cell r="B33" t="str">
            <v xml:space="preserve">Aquecedor de Fluido Térmico: TH III -   </v>
          </cell>
          <cell r="C33" t="str">
            <v xml:space="preserve"> Elétrico</v>
          </cell>
          <cell r="D33">
            <v>0</v>
          </cell>
          <cell r="E33">
            <v>4.0125000000000002</v>
          </cell>
        </row>
        <row r="34">
          <cell r="A34" t="str">
            <v>E113</v>
          </cell>
          <cell r="B34" t="str">
            <v xml:space="preserve">Usina de Asfalto a Quente: DMC-2 - 40 / 60 t/h  </v>
          </cell>
          <cell r="C34" t="str">
            <v xml:space="preserve"> Elétrico</v>
          </cell>
          <cell r="D34">
            <v>5.7469999999999999</v>
          </cell>
          <cell r="E34">
            <v>84.634799999999998</v>
          </cell>
        </row>
        <row r="35">
          <cell r="A35" t="str">
            <v>E114</v>
          </cell>
          <cell r="B35" t="str">
            <v xml:space="preserve">Vibro-acabadora de Asfalto: VDA-206 - sobre pneus  </v>
          </cell>
          <cell r="C35" t="str">
            <v xml:space="preserve"> Diesel</v>
          </cell>
          <cell r="D35">
            <v>5.7469999999999999</v>
          </cell>
          <cell r="E35">
            <v>21.054200000000002</v>
          </cell>
        </row>
        <row r="36">
          <cell r="A36" t="str">
            <v>E115</v>
          </cell>
          <cell r="B36" t="str">
            <v xml:space="preserve">Usina Misturadora: USC-2 - pré mist. a frio 60/100 t/h  </v>
          </cell>
          <cell r="C36" t="str">
            <v xml:space="preserve"> Elétrico</v>
          </cell>
          <cell r="D36">
            <v>5.7469999999999999</v>
          </cell>
          <cell r="E36">
            <v>25.367000000000001</v>
          </cell>
        </row>
        <row r="37">
          <cell r="A37" t="str">
            <v>E116</v>
          </cell>
          <cell r="B37" t="str">
            <v xml:space="preserve">Usina Misturadora: USC-2 - pré mist. a frio 30/60 t/h  </v>
          </cell>
          <cell r="C37" t="str">
            <v xml:space="preserve"> Elétrico</v>
          </cell>
          <cell r="D37">
            <v>5.7469999999999999</v>
          </cell>
          <cell r="E37">
            <v>16.292000000000002</v>
          </cell>
        </row>
        <row r="38">
          <cell r="A38" t="str">
            <v>E117</v>
          </cell>
          <cell r="B38" t="str">
            <v xml:space="preserve">Rolo Compactador: RT82H - estático Tanden autoprop. 8,9 t  </v>
          </cell>
          <cell r="C38" t="str">
            <v xml:space="preserve"> Diesel</v>
          </cell>
          <cell r="D38">
            <v>4.1938000000000004</v>
          </cell>
          <cell r="E38">
            <v>21.779699999999998</v>
          </cell>
        </row>
        <row r="39">
          <cell r="A39" t="str">
            <v>E118</v>
          </cell>
          <cell r="B39" t="str">
            <v xml:space="preserve">Rolo Compactador: Tanden vibrat. 1,6 t  </v>
          </cell>
          <cell r="C39" t="str">
            <v xml:space="preserve"> Diesel</v>
          </cell>
          <cell r="D39">
            <v>4.1938000000000004</v>
          </cell>
          <cell r="E39">
            <v>11.114800000000001</v>
          </cell>
        </row>
        <row r="40">
          <cell r="A40" t="str">
            <v>E119</v>
          </cell>
          <cell r="B40" t="str">
            <v xml:space="preserve">Rolo Compactador: AP23 - de pneus estat. autoprop. 23 t  </v>
          </cell>
          <cell r="C40" t="str">
            <v xml:space="preserve"> Diesel</v>
          </cell>
          <cell r="D40">
            <v>4.1938000000000004</v>
          </cell>
          <cell r="E40">
            <v>34.246499999999997</v>
          </cell>
        </row>
        <row r="41">
          <cell r="A41" t="str">
            <v>E121</v>
          </cell>
          <cell r="B41" t="str">
            <v xml:space="preserve">Rolo Compactador: CA15 - liso vibrat.autoprop. 6,6 t  </v>
          </cell>
          <cell r="C41" t="str">
            <v xml:space="preserve"> Diesel</v>
          </cell>
          <cell r="D41">
            <v>4.1938000000000004</v>
          </cell>
          <cell r="E41">
            <v>33.888399999999997</v>
          </cell>
        </row>
        <row r="42">
          <cell r="A42" t="str">
            <v>E122</v>
          </cell>
          <cell r="B42" t="str">
            <v xml:space="preserve">Equip. Distribuição Lama Asfáltica: montado em caminhão  </v>
          </cell>
          <cell r="C42" t="str">
            <v xml:space="preserve"> Diesel</v>
          </cell>
          <cell r="D42">
            <v>4.9703999999999997</v>
          </cell>
          <cell r="E42">
            <v>55.874299999999998</v>
          </cell>
        </row>
        <row r="43">
          <cell r="A43" t="str">
            <v>E123</v>
          </cell>
          <cell r="B43" t="str">
            <v xml:space="preserve">Caldeira de Asfalto Rebocável: CA-1 - 600 l  </v>
          </cell>
          <cell r="C43" t="str">
            <v xml:space="preserve"> Elétrico</v>
          </cell>
          <cell r="D43">
            <v>0</v>
          </cell>
          <cell r="E43">
            <v>1.9792000000000001</v>
          </cell>
        </row>
        <row r="44">
          <cell r="A44" t="str">
            <v>E124</v>
          </cell>
          <cell r="B44" t="str">
            <v xml:space="preserve">Usina de Asfalto a Quente: gravim 100/140 t/h  </v>
          </cell>
          <cell r="C44" t="str">
            <v xml:space="preserve"> Elétrico</v>
          </cell>
          <cell r="D44">
            <v>5.7469999999999999</v>
          </cell>
          <cell r="E44">
            <v>114.9106</v>
          </cell>
        </row>
        <row r="45">
          <cell r="A45" t="str">
            <v>E126</v>
          </cell>
          <cell r="B45" t="str">
            <v xml:space="preserve">Fresadora a Frio: 1000 C -   </v>
          </cell>
          <cell r="C45" t="str">
            <v xml:space="preserve"> Diesel</v>
          </cell>
          <cell r="D45">
            <v>5.7469999999999999</v>
          </cell>
          <cell r="E45">
            <v>137.417</v>
          </cell>
        </row>
        <row r="46">
          <cell r="A46" t="str">
            <v>E127</v>
          </cell>
          <cell r="B46" t="str">
            <v xml:space="preserve">Fresadora a Frio: 2000 DC -   </v>
          </cell>
          <cell r="C46" t="str">
            <v xml:space="preserve"> Diesel</v>
          </cell>
          <cell r="D46">
            <v>5.7469999999999999</v>
          </cell>
          <cell r="E46">
            <v>284.22500000000002</v>
          </cell>
        </row>
        <row r="47">
          <cell r="A47" t="str">
            <v>E138</v>
          </cell>
          <cell r="B47" t="str">
            <v xml:space="preserve">Estabilizador/Recicladora a Frio: RR/SS-250 -   </v>
          </cell>
          <cell r="C47" t="str">
            <v xml:space="preserve"> Diesel</v>
          </cell>
          <cell r="D47">
            <v>5.7469999999999999</v>
          </cell>
          <cell r="E47">
            <v>203.68700000000001</v>
          </cell>
        </row>
        <row r="48">
          <cell r="A48" t="str">
            <v>E139</v>
          </cell>
          <cell r="B48" t="str">
            <v xml:space="preserve">Rolo Compactador: CA25 - liso auto. vibrat.  </v>
          </cell>
          <cell r="C48" t="str">
            <v xml:space="preserve"> Diesel</v>
          </cell>
          <cell r="D48">
            <v>4.1938000000000004</v>
          </cell>
          <cell r="E48">
            <v>42.997999999999998</v>
          </cell>
        </row>
        <row r="49">
          <cell r="A49" t="str">
            <v>E142</v>
          </cell>
          <cell r="B49" t="str">
            <v xml:space="preserve">Rolo Compactador: CP271 - de pneus  </v>
          </cell>
          <cell r="C49" t="str">
            <v xml:space="preserve"> Diesel</v>
          </cell>
          <cell r="D49">
            <v>4.1938000000000004</v>
          </cell>
          <cell r="E49">
            <v>41.012599999999999</v>
          </cell>
        </row>
        <row r="50">
          <cell r="A50" t="str">
            <v>E147</v>
          </cell>
          <cell r="B50" t="str">
            <v xml:space="preserve">Usina de Asfalto a Quente: DMC-2 - 90/120 t/h com filtro de manga  </v>
          </cell>
          <cell r="C50" t="str">
            <v xml:space="preserve"> Elétrico</v>
          </cell>
          <cell r="D50">
            <v>5.7469999999999999</v>
          </cell>
          <cell r="E50">
            <v>88.358599999999996</v>
          </cell>
        </row>
        <row r="51">
          <cell r="A51" t="str">
            <v>E149</v>
          </cell>
          <cell r="B51" t="str">
            <v xml:space="preserve">Vibro-acabadora de Asfalto: VDA-600BM - sobre esteiras  </v>
          </cell>
          <cell r="C51" t="str">
            <v xml:space="preserve"> Diesel</v>
          </cell>
          <cell r="D51">
            <v>5.7469999999999999</v>
          </cell>
          <cell r="E51">
            <v>52.372999999999998</v>
          </cell>
        </row>
        <row r="52">
          <cell r="A52" t="str">
            <v>E151</v>
          </cell>
          <cell r="B52" t="str">
            <v xml:space="preserve">Rolo Compactador: SP5500 - autoprop. de pneus 20 t  </v>
          </cell>
          <cell r="C52" t="str">
            <v xml:space="preserve"> Diesel</v>
          </cell>
          <cell r="D52">
            <v>4.1938000000000004</v>
          </cell>
          <cell r="E52">
            <v>34.217300000000002</v>
          </cell>
        </row>
        <row r="53">
          <cell r="A53" t="str">
            <v>E153</v>
          </cell>
          <cell r="B53" t="str">
            <v xml:space="preserve">Recicladora de Pavimento: a quente "in situ"  </v>
          </cell>
          <cell r="C53" t="str">
            <v xml:space="preserve"> Diesel</v>
          </cell>
          <cell r="D53">
            <v>11.494</v>
          </cell>
          <cell r="E53">
            <v>387.23480000000001</v>
          </cell>
        </row>
        <row r="54">
          <cell r="A54" t="str">
            <v>E156</v>
          </cell>
          <cell r="B54" t="str">
            <v xml:space="preserve">Trator Uniloader: 1845 - C - c/ vassoura de 1,80 m  </v>
          </cell>
          <cell r="C54" t="str">
            <v xml:space="preserve"> Diesel</v>
          </cell>
          <cell r="D54">
            <v>5.4363000000000001</v>
          </cell>
          <cell r="E54">
            <v>24.787800000000001</v>
          </cell>
        </row>
        <row r="55">
          <cell r="A55" t="str">
            <v>E160</v>
          </cell>
          <cell r="B55" t="str">
            <v xml:space="preserve">Fresadora e Distribuidora de solo: 9500 - para regular sub leito  </v>
          </cell>
          <cell r="C55" t="str">
            <v xml:space="preserve"> Diesel</v>
          </cell>
          <cell r="D55">
            <v>5.7469999999999999</v>
          </cell>
          <cell r="E55">
            <v>234.64689999999999</v>
          </cell>
        </row>
        <row r="56">
          <cell r="A56" t="str">
            <v>E161</v>
          </cell>
          <cell r="B56" t="str">
            <v xml:space="preserve">Equip. Distr. de L.A. Rupt. Contr.: MICROFLEX - acoplado em cavalo mecânico  </v>
          </cell>
          <cell r="C56" t="str">
            <v xml:space="preserve"> Diesel</v>
          </cell>
          <cell r="D56">
            <v>5.2809999999999997</v>
          </cell>
          <cell r="E56">
            <v>104.0889</v>
          </cell>
        </row>
        <row r="57">
          <cell r="A57" t="str">
            <v>E201</v>
          </cell>
          <cell r="B57" t="str">
            <v xml:space="preserve">Compressor de Ar: XA 125PD - 250 PCM  </v>
          </cell>
          <cell r="C57" t="str">
            <v xml:space="preserve"> Diesel</v>
          </cell>
          <cell r="D57">
            <v>4.1938000000000004</v>
          </cell>
          <cell r="E57">
            <v>20.5779</v>
          </cell>
        </row>
        <row r="58">
          <cell r="A58" t="str">
            <v>E202</v>
          </cell>
          <cell r="B58" t="str">
            <v xml:space="preserve">Compressor de Ar: XA 175 - 350 PCM  </v>
          </cell>
          <cell r="C58" t="str">
            <v xml:space="preserve"> Diesel</v>
          </cell>
          <cell r="D58">
            <v>4.1938000000000004</v>
          </cell>
          <cell r="E58">
            <v>26.444299999999998</v>
          </cell>
        </row>
        <row r="59">
          <cell r="A59" t="str">
            <v>E203</v>
          </cell>
          <cell r="B59" t="str">
            <v xml:space="preserve">Compressor de Ar: XA 360 SD - 764 PCM  </v>
          </cell>
          <cell r="C59" t="str">
            <v xml:space="preserve"> Diesel</v>
          </cell>
          <cell r="D59">
            <v>4.1938000000000004</v>
          </cell>
          <cell r="E59">
            <v>55.485300000000002</v>
          </cell>
        </row>
        <row r="60">
          <cell r="A60" t="str">
            <v>E204</v>
          </cell>
          <cell r="B60" t="str">
            <v xml:space="preserve">Martelete: RH658-6L - perfuratriz manual  </v>
          </cell>
          <cell r="C60" t="str">
            <v xml:space="preserve"> Não utiliza energia</v>
          </cell>
          <cell r="D60">
            <v>3.7277999999999998</v>
          </cell>
          <cell r="E60">
            <v>4.5633999999999997</v>
          </cell>
        </row>
        <row r="61">
          <cell r="A61" t="str">
            <v>E205</v>
          </cell>
          <cell r="B61" t="str">
            <v xml:space="preserve">Perfuratriz sobre Esteiras: ROC 442PC - Crawler Drill  </v>
          </cell>
          <cell r="C61" t="str">
            <v xml:space="preserve"> Não utiliza energia</v>
          </cell>
          <cell r="D61">
            <v>4.1938000000000004</v>
          </cell>
          <cell r="E61">
            <v>31.947099999999999</v>
          </cell>
        </row>
        <row r="62">
          <cell r="A62" t="str">
            <v>E206</v>
          </cell>
          <cell r="B62" t="str">
            <v xml:space="preserve">Conjunto de Britagem: L-150A - 30 m3/h  </v>
          </cell>
          <cell r="C62" t="str">
            <v xml:space="preserve"> Elétrico</v>
          </cell>
          <cell r="D62">
            <v>5.7469999999999999</v>
          </cell>
          <cell r="E62">
            <v>67.889799999999994</v>
          </cell>
        </row>
        <row r="63">
          <cell r="A63" t="str">
            <v>E207</v>
          </cell>
          <cell r="B63" t="str">
            <v xml:space="preserve">Conjunto de Britagem: c-130 - 9 a 20 m3/h  </v>
          </cell>
          <cell r="C63" t="str">
            <v xml:space="preserve"> Elétrico</v>
          </cell>
          <cell r="D63">
            <v>5.7469999999999999</v>
          </cell>
          <cell r="E63">
            <v>19.775700000000001</v>
          </cell>
        </row>
        <row r="64">
          <cell r="A64" t="str">
            <v>E208</v>
          </cell>
          <cell r="B64" t="str">
            <v xml:space="preserve">Compressor de Ar: XA90PD - 180 PCM  </v>
          </cell>
          <cell r="C64" t="str">
            <v xml:space="preserve"> Diesel</v>
          </cell>
          <cell r="D64">
            <v>4.1938000000000004</v>
          </cell>
          <cell r="E64">
            <v>19.863900000000001</v>
          </cell>
        </row>
        <row r="65">
          <cell r="A65" t="str">
            <v>E209</v>
          </cell>
          <cell r="B65" t="str">
            <v xml:space="preserve">Martelete: TEX28 - rompedor  28 kg  </v>
          </cell>
          <cell r="C65" t="str">
            <v xml:space="preserve"> Não utiliza energia</v>
          </cell>
          <cell r="D65">
            <v>3.7277999999999998</v>
          </cell>
          <cell r="E65">
            <v>4.2933000000000003</v>
          </cell>
        </row>
        <row r="66">
          <cell r="A66" t="str">
            <v>E210</v>
          </cell>
          <cell r="B66" t="str">
            <v xml:space="preserve">Martelete: TEX33 - rompedor  33 kg  </v>
          </cell>
          <cell r="C66" t="str">
            <v xml:space="preserve"> Não utiliza energia</v>
          </cell>
          <cell r="D66">
            <v>3.7277999999999998</v>
          </cell>
          <cell r="E66">
            <v>4.2347999999999999</v>
          </cell>
        </row>
        <row r="67">
          <cell r="A67" t="str">
            <v>E211</v>
          </cell>
          <cell r="B67" t="str">
            <v xml:space="preserve">Máquina para Pintura: compres. de ar p/ pintura c/ filtro  </v>
          </cell>
          <cell r="C67" t="str">
            <v xml:space="preserve"> Elétrico</v>
          </cell>
          <cell r="D67">
            <v>0</v>
          </cell>
          <cell r="E67">
            <v>0.24829999999999999</v>
          </cell>
        </row>
        <row r="68">
          <cell r="A68" t="str">
            <v>E223</v>
          </cell>
          <cell r="B68" t="str">
            <v xml:space="preserve">Compressor de Ar: portátil 375 PCM  </v>
          </cell>
          <cell r="C68" t="str">
            <v xml:space="preserve"> Diesel</v>
          </cell>
          <cell r="D68">
            <v>4.1938000000000004</v>
          </cell>
          <cell r="E68">
            <v>36.3354</v>
          </cell>
        </row>
        <row r="69">
          <cell r="A69" t="str">
            <v>E225</v>
          </cell>
          <cell r="B69" t="str">
            <v xml:space="preserve">Conjunto de Britagem: 80 m3/h  </v>
          </cell>
          <cell r="C69" t="str">
            <v xml:space="preserve"> Elétrico</v>
          </cell>
          <cell r="D69">
            <v>5.7469999999999999</v>
          </cell>
          <cell r="E69">
            <v>123.60420000000001</v>
          </cell>
        </row>
        <row r="70">
          <cell r="A70" t="str">
            <v>E226</v>
          </cell>
          <cell r="B70" t="str">
            <v xml:space="preserve">Conjunto de Britagem - p/ rachão: 80 m3/h   p/ produção de rachão  </v>
          </cell>
          <cell r="C70" t="str">
            <v xml:space="preserve"> Elétrico</v>
          </cell>
          <cell r="D70">
            <v>5.7469999999999999</v>
          </cell>
          <cell r="E70">
            <v>36.0685</v>
          </cell>
        </row>
        <row r="71">
          <cell r="A71" t="str">
            <v>E301</v>
          </cell>
          <cell r="B71" t="str">
            <v xml:space="preserve">Betoneira: 320 l  </v>
          </cell>
          <cell r="C71" t="str">
            <v xml:space="preserve"> Diesel</v>
          </cell>
          <cell r="D71">
            <v>4.1938000000000004</v>
          </cell>
          <cell r="E71">
            <v>6.3403</v>
          </cell>
        </row>
        <row r="72">
          <cell r="A72" t="str">
            <v>E302</v>
          </cell>
          <cell r="B72" t="str">
            <v xml:space="preserve">Betoneira: 320 l  </v>
          </cell>
          <cell r="C72" t="str">
            <v xml:space="preserve"> Elétrico</v>
          </cell>
          <cell r="D72">
            <v>4.1938000000000004</v>
          </cell>
          <cell r="E72">
            <v>4.3377999999999997</v>
          </cell>
        </row>
        <row r="73">
          <cell r="A73" t="str">
            <v>E303</v>
          </cell>
          <cell r="B73" t="str">
            <v xml:space="preserve">Betoneira: 750 l  </v>
          </cell>
          <cell r="C73" t="str">
            <v xml:space="preserve"> Elétrico</v>
          </cell>
          <cell r="D73">
            <v>4.1938000000000004</v>
          </cell>
          <cell r="E73">
            <v>6.1938000000000004</v>
          </cell>
        </row>
        <row r="74">
          <cell r="A74" t="str">
            <v>E304</v>
          </cell>
          <cell r="B74" t="str">
            <v xml:space="preserve">Transportador Manual: carrinho de mão 80 l  </v>
          </cell>
          <cell r="C74" t="str">
            <v xml:space="preserve"> Não utiliza energia</v>
          </cell>
          <cell r="D74">
            <v>0</v>
          </cell>
          <cell r="E74">
            <v>4.7699999999999999E-2</v>
          </cell>
        </row>
        <row r="75">
          <cell r="A75" t="str">
            <v>E305</v>
          </cell>
          <cell r="B75" t="str">
            <v xml:space="preserve">Transportador Manual: A-15 - gerica 180 l  </v>
          </cell>
          <cell r="C75" t="str">
            <v xml:space="preserve"> Não utiliza energia</v>
          </cell>
          <cell r="D75">
            <v>0</v>
          </cell>
          <cell r="E75">
            <v>0.12609999999999999</v>
          </cell>
        </row>
        <row r="76">
          <cell r="A76" t="str">
            <v>E306</v>
          </cell>
          <cell r="B76" t="str">
            <v xml:space="preserve">Vibrador de Concreto: VIP45/MT2 - de imersão  </v>
          </cell>
          <cell r="C76" t="str">
            <v xml:space="preserve"> Elétrico</v>
          </cell>
          <cell r="D76">
            <v>3.7277999999999998</v>
          </cell>
          <cell r="E76">
            <v>3.9548000000000001</v>
          </cell>
        </row>
        <row r="77">
          <cell r="A77" t="str">
            <v>E307</v>
          </cell>
          <cell r="B77" t="str">
            <v xml:space="preserve">Fábric. Pré-Moldado Concreto: tubos   D=0,2 m   M / F  </v>
          </cell>
          <cell r="C77" t="str">
            <v xml:space="preserve"> Elétrico</v>
          </cell>
          <cell r="D77">
            <v>0</v>
          </cell>
          <cell r="E77">
            <v>1.3293999999999999</v>
          </cell>
        </row>
        <row r="78">
          <cell r="A78" t="str">
            <v>E308</v>
          </cell>
          <cell r="B78" t="str">
            <v xml:space="preserve">Fábric. Pré-Moldado Concreto: tubos   D=0,3 m   M / F  </v>
          </cell>
          <cell r="C78" t="str">
            <v xml:space="preserve"> Elétrico</v>
          </cell>
          <cell r="D78">
            <v>0</v>
          </cell>
          <cell r="E78">
            <v>1.3771</v>
          </cell>
        </row>
        <row r="79">
          <cell r="A79" t="str">
            <v>E309</v>
          </cell>
          <cell r="B79" t="str">
            <v xml:space="preserve">Fábric. Pré-Moldado Concreto: tubos   D=0,4 m   M / F  </v>
          </cell>
          <cell r="C79" t="str">
            <v xml:space="preserve"> Elétrico</v>
          </cell>
          <cell r="D79">
            <v>0</v>
          </cell>
          <cell r="E79">
            <v>1.4869000000000001</v>
          </cell>
        </row>
        <row r="80">
          <cell r="A80" t="str">
            <v>E310</v>
          </cell>
          <cell r="B80" t="str">
            <v xml:space="preserve">Fábric. Pré-Moldado Concreto: tubos   D=0,6 m   M / F  </v>
          </cell>
          <cell r="C80" t="str">
            <v xml:space="preserve"> Elétrico</v>
          </cell>
          <cell r="D80">
            <v>0</v>
          </cell>
          <cell r="E80">
            <v>1.9801</v>
          </cell>
        </row>
        <row r="81">
          <cell r="A81" t="str">
            <v>E311</v>
          </cell>
          <cell r="B81" t="str">
            <v xml:space="preserve">Fábric. Pré-Moldado Concreto: tubos   D=0,8 m   M / F  </v>
          </cell>
          <cell r="C81" t="str">
            <v xml:space="preserve"> Elétrico</v>
          </cell>
          <cell r="D81">
            <v>0</v>
          </cell>
          <cell r="E81">
            <v>1.9222999999999999</v>
          </cell>
        </row>
        <row r="82">
          <cell r="A82" t="str">
            <v>E312</v>
          </cell>
          <cell r="B82" t="str">
            <v xml:space="preserve">Fábric. Pré-Moldado Concreto: tubos   D=1,0 m   M / F  </v>
          </cell>
          <cell r="C82" t="str">
            <v xml:space="preserve"> Elétrico</v>
          </cell>
          <cell r="D82">
            <v>0</v>
          </cell>
          <cell r="E82">
            <v>2.1139999999999999</v>
          </cell>
        </row>
        <row r="83">
          <cell r="A83" t="str">
            <v>E313</v>
          </cell>
          <cell r="B83" t="str">
            <v xml:space="preserve">Fábric. Pré-Moldado Concreto: tubos   D=1,2 m   M / F  </v>
          </cell>
          <cell r="C83" t="str">
            <v xml:space="preserve"> Elétrico</v>
          </cell>
          <cell r="D83">
            <v>0</v>
          </cell>
          <cell r="E83">
            <v>2.1522999999999999</v>
          </cell>
        </row>
        <row r="84">
          <cell r="A84" t="str">
            <v>E314</v>
          </cell>
          <cell r="B84" t="str">
            <v xml:space="preserve">Fábric. Pré-Moldado Concreto: tubos   D=1,5 m   M / F  </v>
          </cell>
          <cell r="C84" t="str">
            <v xml:space="preserve"> Elétrico</v>
          </cell>
          <cell r="D84">
            <v>0</v>
          </cell>
          <cell r="E84">
            <v>2.1879</v>
          </cell>
        </row>
        <row r="85">
          <cell r="A85" t="str">
            <v>E315</v>
          </cell>
          <cell r="B85" t="str">
            <v xml:space="preserve">Betoneira: 500 l  </v>
          </cell>
          <cell r="C85" t="str">
            <v xml:space="preserve"> Diesel</v>
          </cell>
          <cell r="D85">
            <v>4.1938000000000004</v>
          </cell>
          <cell r="E85">
            <v>7.1970000000000001</v>
          </cell>
        </row>
        <row r="86">
          <cell r="A86" t="str">
            <v>E316</v>
          </cell>
          <cell r="B86" t="str">
            <v xml:space="preserve">Fábric. Pré-Moldado Concreto: inst. compl. -  mourão  </v>
          </cell>
          <cell r="C86" t="str">
            <v xml:space="preserve"> Elétrico</v>
          </cell>
          <cell r="D86">
            <v>0</v>
          </cell>
          <cell r="E86">
            <v>0.58079999999999998</v>
          </cell>
        </row>
        <row r="87">
          <cell r="A87" t="str">
            <v>E317</v>
          </cell>
          <cell r="B87" t="str">
            <v xml:space="preserve">Fábric. Pré-Moldado Concreto: inst. compl. -  balizador  </v>
          </cell>
          <cell r="C87" t="str">
            <v xml:space="preserve"> Elétrico</v>
          </cell>
          <cell r="D87">
            <v>0</v>
          </cell>
          <cell r="E87">
            <v>0.61099999999999999</v>
          </cell>
        </row>
        <row r="88">
          <cell r="A88" t="str">
            <v>E318</v>
          </cell>
          <cell r="B88" t="str">
            <v xml:space="preserve">Fábric. Pré-Moldado Concreto: inst. compl. - guarda-corpo  </v>
          </cell>
          <cell r="C88" t="str">
            <v xml:space="preserve"> Elétrico</v>
          </cell>
          <cell r="D88">
            <v>0</v>
          </cell>
          <cell r="E88">
            <v>0.81599999999999995</v>
          </cell>
        </row>
        <row r="89">
          <cell r="A89" t="str">
            <v>E323</v>
          </cell>
          <cell r="B89" t="str">
            <v xml:space="preserve">Central de Concreto: 30m3/h - dosadora  </v>
          </cell>
          <cell r="C89" t="str">
            <v xml:space="preserve"> Elétrico</v>
          </cell>
          <cell r="D89">
            <v>5.7469999999999999</v>
          </cell>
          <cell r="E89">
            <v>11.347</v>
          </cell>
        </row>
        <row r="90">
          <cell r="A90" t="str">
            <v>E330</v>
          </cell>
          <cell r="B90" t="str">
            <v xml:space="preserve">Espalhadora de concreto: PS 2600 -   </v>
          </cell>
          <cell r="C90" t="str">
            <v xml:space="preserve"> Diesel</v>
          </cell>
          <cell r="D90">
            <v>5.7469999999999999</v>
          </cell>
          <cell r="E90">
            <v>182.9436</v>
          </cell>
        </row>
        <row r="91">
          <cell r="A91" t="str">
            <v>E331</v>
          </cell>
          <cell r="B91" t="str">
            <v xml:space="preserve">Acabadora de concreto: GP 2600 - com forma deslizante  </v>
          </cell>
          <cell r="C91" t="str">
            <v xml:space="preserve"> Diesel</v>
          </cell>
          <cell r="D91">
            <v>5.7469999999999999</v>
          </cell>
          <cell r="E91">
            <v>212.422</v>
          </cell>
        </row>
        <row r="92">
          <cell r="A92" t="str">
            <v>E332</v>
          </cell>
          <cell r="B92" t="str">
            <v xml:space="preserve">Texturizadora e Lançadora: TC 400 - com estação meteorológica  </v>
          </cell>
          <cell r="C92" t="str">
            <v xml:space="preserve"> Diesel</v>
          </cell>
          <cell r="D92">
            <v>3.7277999999999998</v>
          </cell>
          <cell r="E92">
            <v>58.248699999999999</v>
          </cell>
        </row>
        <row r="93">
          <cell r="A93" t="str">
            <v>E333</v>
          </cell>
          <cell r="B93" t="str">
            <v xml:space="preserve">Serra de Disco Diamantado: PRO-65 - para concreto  </v>
          </cell>
          <cell r="C93" t="str">
            <v xml:space="preserve"> Gasolina</v>
          </cell>
          <cell r="D93">
            <v>3.7277999999999998</v>
          </cell>
          <cell r="E93">
            <v>37.576799999999999</v>
          </cell>
        </row>
        <row r="94">
          <cell r="A94" t="str">
            <v>E334</v>
          </cell>
          <cell r="B94" t="str">
            <v xml:space="preserve">Seladora de Juntas: EZ100 -   </v>
          </cell>
          <cell r="C94" t="str">
            <v xml:space="preserve"> Gasolina</v>
          </cell>
          <cell r="D94">
            <v>3.7277999999999998</v>
          </cell>
          <cell r="E94">
            <v>19.320599999999999</v>
          </cell>
        </row>
        <row r="95">
          <cell r="A95" t="str">
            <v>E335</v>
          </cell>
          <cell r="B95" t="str">
            <v xml:space="preserve">Central de Concreto: MG11C - 270m3 / h - dosadora e misturadora.  </v>
          </cell>
          <cell r="C95" t="str">
            <v xml:space="preserve"> Elétrico</v>
          </cell>
          <cell r="D95">
            <v>5.7469999999999999</v>
          </cell>
          <cell r="E95">
            <v>123.1434</v>
          </cell>
        </row>
        <row r="96">
          <cell r="A96" t="str">
            <v>E337</v>
          </cell>
          <cell r="B96" t="str">
            <v xml:space="preserve">Régua vibratória: CRV 4 - 4,25m  </v>
          </cell>
          <cell r="C96" t="str">
            <v xml:space="preserve"> Elétrico</v>
          </cell>
          <cell r="D96">
            <v>3.7277999999999998</v>
          </cell>
          <cell r="E96">
            <v>5.7130000000000001</v>
          </cell>
        </row>
        <row r="97">
          <cell r="A97" t="str">
            <v>E338</v>
          </cell>
          <cell r="B97" t="str">
            <v xml:space="preserve">Serra de Juntas: C-844 - para concreto  </v>
          </cell>
          <cell r="C97" t="str">
            <v xml:space="preserve"> Elétrico</v>
          </cell>
          <cell r="D97">
            <v>3.7277999999999998</v>
          </cell>
          <cell r="E97">
            <v>4.3326000000000002</v>
          </cell>
        </row>
        <row r="98">
          <cell r="A98" t="str">
            <v>E339</v>
          </cell>
          <cell r="B98" t="str">
            <v xml:space="preserve">Fábric. Pré-Moldado Concreto: placas p/ pavimento  </v>
          </cell>
          <cell r="C98" t="str">
            <v xml:space="preserve"> Elétrico</v>
          </cell>
          <cell r="D98">
            <v>0</v>
          </cell>
          <cell r="E98">
            <v>1.2596000000000001</v>
          </cell>
        </row>
        <row r="99">
          <cell r="A99" t="str">
            <v>E340</v>
          </cell>
          <cell r="B99" t="str">
            <v xml:space="preserve">Jateadora de Areia: KI-2460 - pressurizado  </v>
          </cell>
          <cell r="C99" t="str">
            <v xml:space="preserve"> Não utiliza energia</v>
          </cell>
          <cell r="D99">
            <v>3.7277999999999998</v>
          </cell>
          <cell r="E99">
            <v>4.8484999999999996</v>
          </cell>
        </row>
        <row r="100">
          <cell r="A100" t="str">
            <v>E400</v>
          </cell>
          <cell r="B100" t="str">
            <v xml:space="preserve">Caminhão Basculante: 1418R - 5 m3 - 8,8 t  </v>
          </cell>
          <cell r="C100" t="str">
            <v xml:space="preserve"> Diesel</v>
          </cell>
          <cell r="D100">
            <v>4.9703999999999997</v>
          </cell>
          <cell r="E100">
            <v>34.086500000000001</v>
          </cell>
        </row>
        <row r="101">
          <cell r="A101" t="str">
            <v>E402</v>
          </cell>
          <cell r="B101" t="str">
            <v xml:space="preserve">Caminhão Carroceria: L2318/51 - de madeira 15 t  </v>
          </cell>
          <cell r="C101" t="str">
            <v xml:space="preserve"> Diesel</v>
          </cell>
          <cell r="D101">
            <v>4.9703999999999997</v>
          </cell>
          <cell r="E101">
            <v>37.622100000000003</v>
          </cell>
        </row>
        <row r="102">
          <cell r="A102" t="str">
            <v>E403</v>
          </cell>
          <cell r="B102" t="str">
            <v xml:space="preserve">Caminhão Basculante: LK 1620 - 6 m3 - 10,5 t  </v>
          </cell>
          <cell r="C102" t="str">
            <v xml:space="preserve"> Diesel</v>
          </cell>
          <cell r="D102">
            <v>4.9703999999999997</v>
          </cell>
          <cell r="E102">
            <v>39.272100000000002</v>
          </cell>
        </row>
        <row r="103">
          <cell r="A103" t="str">
            <v>E404</v>
          </cell>
          <cell r="B103" t="str">
            <v xml:space="preserve">Caminhão Basculante: LK 2318 - 10 m3 - 15 t  </v>
          </cell>
          <cell r="C103" t="str">
            <v xml:space="preserve"> Diesel</v>
          </cell>
          <cell r="D103">
            <v>4.9703999999999997</v>
          </cell>
          <cell r="E103">
            <v>39.351799999999997</v>
          </cell>
        </row>
        <row r="104">
          <cell r="A104" t="str">
            <v>E405</v>
          </cell>
          <cell r="B104" t="str">
            <v xml:space="preserve">Caminhão Basculante: LK2318 - p/ rocha 8 m3 - 13 t  </v>
          </cell>
          <cell r="C104" t="str">
            <v xml:space="preserve"> Diesel</v>
          </cell>
          <cell r="D104">
            <v>4.9703999999999997</v>
          </cell>
          <cell r="E104">
            <v>40.878900000000002</v>
          </cell>
        </row>
        <row r="105">
          <cell r="A105" t="str">
            <v>E406</v>
          </cell>
          <cell r="B105" t="str">
            <v xml:space="preserve">Caminhão Tanque: L1620/51 - 6.000 l  </v>
          </cell>
          <cell r="C105" t="str">
            <v xml:space="preserve"> Diesel</v>
          </cell>
          <cell r="D105">
            <v>4.9703999999999997</v>
          </cell>
          <cell r="E105">
            <v>36.354900000000001</v>
          </cell>
        </row>
        <row r="106">
          <cell r="A106" t="str">
            <v>E407</v>
          </cell>
          <cell r="B106" t="str">
            <v xml:space="preserve">Caminhão Tanque: L2318/51 - 10.000 l  </v>
          </cell>
          <cell r="C106" t="str">
            <v xml:space="preserve"> Diesel</v>
          </cell>
          <cell r="D106">
            <v>4.9703999999999997</v>
          </cell>
          <cell r="E106">
            <v>38.028799999999997</v>
          </cell>
        </row>
        <row r="107">
          <cell r="A107" t="str">
            <v>E408</v>
          </cell>
          <cell r="B107" t="str">
            <v xml:space="preserve">Caminhão Carroceria: 710 / 37 - fixa 4 t  </v>
          </cell>
          <cell r="C107" t="str">
            <v xml:space="preserve"> Diesel</v>
          </cell>
          <cell r="D107">
            <v>4.9703999999999997</v>
          </cell>
          <cell r="E107">
            <v>21.9148</v>
          </cell>
        </row>
        <row r="108">
          <cell r="A108" t="str">
            <v>E409</v>
          </cell>
          <cell r="B108" t="str">
            <v xml:space="preserve">Caminhão Carroceria: L1620/51 - fixa 9 t  </v>
          </cell>
          <cell r="C108" t="str">
            <v xml:space="preserve"> Diesel</v>
          </cell>
          <cell r="D108">
            <v>4.9703999999999997</v>
          </cell>
          <cell r="E108">
            <v>35.988799999999998</v>
          </cell>
        </row>
        <row r="109">
          <cell r="A109" t="str">
            <v>E410</v>
          </cell>
          <cell r="B109" t="str">
            <v xml:space="preserve">Caminhão Basculante: 1214K - 4 m3 - 7,1 t  </v>
          </cell>
          <cell r="C109" t="str">
            <v xml:space="preserve"> Diesel</v>
          </cell>
          <cell r="D109">
            <v>4.9703999999999997</v>
          </cell>
          <cell r="E109">
            <v>29.4145</v>
          </cell>
        </row>
        <row r="110">
          <cell r="A110" t="str">
            <v>E411</v>
          </cell>
          <cell r="B110" t="str">
            <v xml:space="preserve">Cavalo Mecânico com Reboque: LS1632/45 - 29,5 t  </v>
          </cell>
          <cell r="C110" t="str">
            <v xml:space="preserve"> Diesel</v>
          </cell>
          <cell r="D110">
            <v>5.2809999999999997</v>
          </cell>
          <cell r="E110">
            <v>53.461799999999997</v>
          </cell>
        </row>
        <row r="111">
          <cell r="A111" t="str">
            <v>E412</v>
          </cell>
          <cell r="B111" t="str">
            <v xml:space="preserve">Veículo Leve: GOL 1000 - automóvel até 100 hp  </v>
          </cell>
          <cell r="C111" t="str">
            <v xml:space="preserve"> Gasolina</v>
          </cell>
          <cell r="D111">
            <v>4.5044000000000004</v>
          </cell>
          <cell r="E111">
            <v>16.7941</v>
          </cell>
        </row>
        <row r="112">
          <cell r="A112" t="str">
            <v>E416</v>
          </cell>
          <cell r="B112" t="str">
            <v xml:space="preserve">Veículo Leve: pick up Silverado  </v>
          </cell>
          <cell r="C112" t="str">
            <v xml:space="preserve"> Diesel</v>
          </cell>
          <cell r="D112">
            <v>4.5044000000000004</v>
          </cell>
          <cell r="E112">
            <v>18.8369</v>
          </cell>
        </row>
        <row r="113">
          <cell r="A113" t="str">
            <v>E421</v>
          </cell>
          <cell r="B113" t="str">
            <v xml:space="preserve">Caminhão Tanque: L2318/51 - 13.000 l  </v>
          </cell>
          <cell r="C113" t="str">
            <v xml:space="preserve"> Diesel</v>
          </cell>
          <cell r="D113">
            <v>4.9703999999999997</v>
          </cell>
          <cell r="E113">
            <v>38.420999999999999</v>
          </cell>
        </row>
        <row r="114">
          <cell r="A114" t="str">
            <v>E422</v>
          </cell>
          <cell r="B114" t="str">
            <v xml:space="preserve">Caminhão Tanque: L1620/51 - 8.000 l  </v>
          </cell>
          <cell r="C114" t="str">
            <v xml:space="preserve"> Diesel</v>
          </cell>
          <cell r="D114">
            <v>4.9703999999999997</v>
          </cell>
          <cell r="E114">
            <v>36.441899999999997</v>
          </cell>
        </row>
        <row r="115">
          <cell r="A115" t="str">
            <v>E427</v>
          </cell>
          <cell r="B115" t="str">
            <v xml:space="preserve">Caminhão Betoneira: 16-220 - 11,5 t   5m3  </v>
          </cell>
          <cell r="C115" t="str">
            <v xml:space="preserve"> Diesel</v>
          </cell>
          <cell r="D115">
            <v>4.9703999999999997</v>
          </cell>
          <cell r="E115">
            <v>44.1663</v>
          </cell>
        </row>
        <row r="116">
          <cell r="A116" t="str">
            <v>E432</v>
          </cell>
          <cell r="B116" t="str">
            <v xml:space="preserve">Caminhão Basculante: NL-10-320  6x4 - 20 t  </v>
          </cell>
          <cell r="C116" t="str">
            <v xml:space="preserve"> Diesel</v>
          </cell>
          <cell r="D116">
            <v>4.9703999999999997</v>
          </cell>
          <cell r="E116">
            <v>53.091999999999999</v>
          </cell>
        </row>
        <row r="117">
          <cell r="A117" t="str">
            <v>E433</v>
          </cell>
          <cell r="B117" t="str">
            <v xml:space="preserve">Caminhão Basculante: NL-10-320  6x4 - para rocha  18 t  </v>
          </cell>
          <cell r="C117" t="str">
            <v xml:space="preserve"> Diesel</v>
          </cell>
          <cell r="D117">
            <v>4.9703999999999997</v>
          </cell>
          <cell r="E117">
            <v>54.608899999999998</v>
          </cell>
        </row>
        <row r="118">
          <cell r="A118" t="str">
            <v>E434</v>
          </cell>
          <cell r="B118" t="str">
            <v xml:space="preserve">Caminhão Carroceria: L 1620/51 - c/ guindauto   6 t x m  </v>
          </cell>
          <cell r="C118" t="str">
            <v xml:space="preserve"> Diesel</v>
          </cell>
          <cell r="D118">
            <v>4.9703999999999997</v>
          </cell>
          <cell r="E118">
            <v>38.572800000000001</v>
          </cell>
        </row>
        <row r="119">
          <cell r="A119" t="str">
            <v>E435</v>
          </cell>
          <cell r="B119" t="str">
            <v xml:space="preserve">Caminhão Basculante: LK-1620/51 - p/ rocha   5m3    8 t  </v>
          </cell>
          <cell r="C119" t="str">
            <v xml:space="preserve"> Diesel</v>
          </cell>
          <cell r="D119">
            <v>4.9703999999999997</v>
          </cell>
          <cell r="E119">
            <v>40.184899999999999</v>
          </cell>
        </row>
        <row r="120">
          <cell r="A120" t="str">
            <v>E501</v>
          </cell>
          <cell r="B120" t="str">
            <v xml:space="preserve">Grupo Gerador: GEHMB-44 - 40 / 44 KVA  </v>
          </cell>
          <cell r="C120" t="str">
            <v xml:space="preserve"> Diesel</v>
          </cell>
          <cell r="D120">
            <v>4.1938000000000004</v>
          </cell>
          <cell r="E120">
            <v>13.5405</v>
          </cell>
        </row>
        <row r="121">
          <cell r="A121" t="str">
            <v>E502</v>
          </cell>
          <cell r="B121" t="str">
            <v xml:space="preserve">Grupo Gerador: GEHM-150 - 139 / 150 KVA  </v>
          </cell>
          <cell r="C121" t="str">
            <v xml:space="preserve"> Diesel</v>
          </cell>
          <cell r="D121">
            <v>4.1938000000000004</v>
          </cell>
          <cell r="E121">
            <v>32.253900000000002</v>
          </cell>
        </row>
        <row r="122">
          <cell r="A122" t="str">
            <v>E503</v>
          </cell>
          <cell r="B122" t="str">
            <v xml:space="preserve">Grupo Gerador: GEHM-180 - 165 / 180 KVA  </v>
          </cell>
          <cell r="C122" t="str">
            <v xml:space="preserve"> Diesel</v>
          </cell>
          <cell r="D122">
            <v>4.1938000000000004</v>
          </cell>
          <cell r="E122">
            <v>37.573700000000002</v>
          </cell>
        </row>
        <row r="123">
          <cell r="A123" t="str">
            <v>E504</v>
          </cell>
          <cell r="B123" t="str">
            <v xml:space="preserve">Grupo Gerador: GEHV-285 - 262 / 290 KVA  </v>
          </cell>
          <cell r="C123" t="str">
            <v xml:space="preserve"> Diesel</v>
          </cell>
          <cell r="D123">
            <v>4.1938000000000004</v>
          </cell>
          <cell r="E123">
            <v>60.707599999999999</v>
          </cell>
        </row>
        <row r="124">
          <cell r="A124" t="str">
            <v>E505</v>
          </cell>
          <cell r="B124" t="str">
            <v xml:space="preserve">Grupo Gerador: GEHY-10 - 9 / 10 KVA  </v>
          </cell>
          <cell r="C124" t="str">
            <v xml:space="preserve"> Diesel</v>
          </cell>
          <cell r="D124">
            <v>4.1938000000000004</v>
          </cell>
          <cell r="E124">
            <v>7.2183000000000002</v>
          </cell>
        </row>
        <row r="125">
          <cell r="A125" t="str">
            <v>E507</v>
          </cell>
          <cell r="B125" t="str">
            <v xml:space="preserve">Grupo Gerador: GEHP-110 - 86 / 95 KVA  </v>
          </cell>
          <cell r="C125" t="str">
            <v xml:space="preserve"> Diesel</v>
          </cell>
          <cell r="D125">
            <v>4.1938000000000004</v>
          </cell>
          <cell r="E125">
            <v>25.650099999999998</v>
          </cell>
        </row>
        <row r="126">
          <cell r="A126" t="str">
            <v>E508</v>
          </cell>
          <cell r="B126" t="str">
            <v xml:space="preserve">Grupo Gerador: GEHY-3 - 2,5 / 3,0 KVA  </v>
          </cell>
          <cell r="C126" t="str">
            <v xml:space="preserve"> Diesel</v>
          </cell>
          <cell r="D126">
            <v>4.1938000000000004</v>
          </cell>
          <cell r="E126">
            <v>4.8719999999999999</v>
          </cell>
        </row>
        <row r="127">
          <cell r="A127" t="str">
            <v>E509</v>
          </cell>
          <cell r="B127" t="str">
            <v xml:space="preserve">Grupo Gerador: 25,0 KVA  </v>
          </cell>
          <cell r="C127" t="str">
            <v xml:space="preserve"> Diesel</v>
          </cell>
          <cell r="D127">
            <v>4.1938000000000004</v>
          </cell>
          <cell r="E127">
            <v>9.5383999999999993</v>
          </cell>
        </row>
        <row r="128">
          <cell r="A128" t="str">
            <v>E601</v>
          </cell>
          <cell r="B128" t="str">
            <v xml:space="preserve">Roçadeira: em trator de pneus  </v>
          </cell>
          <cell r="C128" t="str">
            <v xml:space="preserve"> Diesel</v>
          </cell>
          <cell r="D128">
            <v>4.1938000000000004</v>
          </cell>
          <cell r="E128">
            <v>27.7225</v>
          </cell>
        </row>
        <row r="129">
          <cell r="A129" t="str">
            <v>E602</v>
          </cell>
          <cell r="B129" t="str">
            <v xml:space="preserve">Roçadeira: XTA-TC145 - em micro trator  </v>
          </cell>
          <cell r="C129" t="str">
            <v xml:space="preserve"> Diesel</v>
          </cell>
          <cell r="D129">
            <v>4.1938000000000004</v>
          </cell>
          <cell r="E129">
            <v>8.9770000000000003</v>
          </cell>
        </row>
        <row r="130">
          <cell r="A130" t="str">
            <v>E603</v>
          </cell>
          <cell r="B130" t="str">
            <v xml:space="preserve">Roçadeira: FR-108 - mecânica (costal)  </v>
          </cell>
          <cell r="C130" t="str">
            <v xml:space="preserve"> Diesel</v>
          </cell>
          <cell r="D130">
            <v>3.7277999999999998</v>
          </cell>
          <cell r="E130">
            <v>6.5384000000000002</v>
          </cell>
        </row>
        <row r="131">
          <cell r="A131" t="str">
            <v>E901</v>
          </cell>
          <cell r="B131" t="str">
            <v xml:space="preserve">Campânula de Ar Comprimido: 3 m3  </v>
          </cell>
          <cell r="C131" t="str">
            <v xml:space="preserve"> Não utiliza energia</v>
          </cell>
          <cell r="D131">
            <v>0</v>
          </cell>
          <cell r="E131">
            <v>2.6981000000000002</v>
          </cell>
        </row>
        <row r="132">
          <cell r="A132" t="str">
            <v>E902</v>
          </cell>
          <cell r="B132" t="str">
            <v xml:space="preserve">Bate-Estacas: IM-750-PM - de gravidade 500 kg  </v>
          </cell>
          <cell r="C132" t="str">
            <v xml:space="preserve"> Diesel</v>
          </cell>
          <cell r="D132">
            <v>4.1938000000000004</v>
          </cell>
          <cell r="E132">
            <v>9.5035000000000007</v>
          </cell>
        </row>
        <row r="133">
          <cell r="A133" t="str">
            <v>E903</v>
          </cell>
          <cell r="B133" t="str">
            <v xml:space="preserve">Bate-Estacas: IM-1320-BS - de gravidade 3.000 kg  </v>
          </cell>
          <cell r="C133" t="str">
            <v xml:space="preserve"> Diesel</v>
          </cell>
          <cell r="D133">
            <v>4.1938000000000004</v>
          </cell>
          <cell r="E133">
            <v>51.347499999999997</v>
          </cell>
        </row>
        <row r="134">
          <cell r="A134" t="str">
            <v>E904</v>
          </cell>
          <cell r="B134" t="str">
            <v xml:space="preserve">Máquina de Bancada: serra circular de 12"  </v>
          </cell>
          <cell r="C134" t="str">
            <v xml:space="preserve"> Elétrico</v>
          </cell>
          <cell r="D134">
            <v>0</v>
          </cell>
          <cell r="E134">
            <v>0.12239999999999999</v>
          </cell>
        </row>
        <row r="135">
          <cell r="A135" t="str">
            <v>E905</v>
          </cell>
          <cell r="B135" t="str">
            <v xml:space="preserve">Máquina Manual: TU-40 - talha guincho para 4 t  </v>
          </cell>
          <cell r="C135" t="str">
            <v xml:space="preserve"> Não utiliza energia</v>
          </cell>
          <cell r="D135">
            <v>0</v>
          </cell>
          <cell r="E135">
            <v>0.27229999999999999</v>
          </cell>
        </row>
        <row r="136">
          <cell r="A136" t="str">
            <v>E906</v>
          </cell>
          <cell r="B136" t="str">
            <v xml:space="preserve">Compactador Manual: ES600 - soquete vibratório  </v>
          </cell>
          <cell r="C136" t="str">
            <v xml:space="preserve"> Gasolina</v>
          </cell>
          <cell r="D136">
            <v>3.7277999999999998</v>
          </cell>
          <cell r="E136">
            <v>6.2308000000000003</v>
          </cell>
        </row>
        <row r="137">
          <cell r="A137" t="str">
            <v>E907</v>
          </cell>
          <cell r="B137" t="str">
            <v xml:space="preserve">Conjunto Moto-Bomba: 180-SH-75 - com motor  </v>
          </cell>
          <cell r="C137" t="str">
            <v xml:space="preserve"> Gasolina</v>
          </cell>
          <cell r="D137">
            <v>0</v>
          </cell>
          <cell r="E137">
            <v>7.2904999999999998</v>
          </cell>
        </row>
        <row r="138">
          <cell r="A138" t="str">
            <v>E908</v>
          </cell>
          <cell r="B138" t="str">
            <v xml:space="preserve">Máquina para Pintura: 44 - demarcação de faixas autoprop.  </v>
          </cell>
          <cell r="C138" t="str">
            <v xml:space="preserve"> Diesel</v>
          </cell>
          <cell r="D138">
            <v>5.7469999999999999</v>
          </cell>
          <cell r="E138">
            <v>29.155100000000001</v>
          </cell>
        </row>
        <row r="139">
          <cell r="A139" t="str">
            <v>E909</v>
          </cell>
          <cell r="B139" t="str">
            <v xml:space="preserve">Equip. para Hidrosemeadura: 5.500 l  </v>
          </cell>
          <cell r="C139" t="str">
            <v xml:space="preserve"> Diesel</v>
          </cell>
          <cell r="D139">
            <v>4.9703999999999997</v>
          </cell>
          <cell r="E139">
            <v>49.0715</v>
          </cell>
        </row>
        <row r="140">
          <cell r="A140" t="str">
            <v>E910</v>
          </cell>
          <cell r="B140" t="str">
            <v xml:space="preserve">Máquina Manual: 1361 - esmerilhadeira de disco  </v>
          </cell>
          <cell r="C140" t="str">
            <v xml:space="preserve"> Elétrico</v>
          </cell>
          <cell r="D140">
            <v>0</v>
          </cell>
          <cell r="E140">
            <v>5.9499999999999997E-2</v>
          </cell>
        </row>
        <row r="141">
          <cell r="A141" t="str">
            <v>E911</v>
          </cell>
          <cell r="B141" t="str">
            <v xml:space="preserve">Tripé-Sonda: MACH 850 - Tripé-Sonda com motor  </v>
          </cell>
          <cell r="C141" t="str">
            <v xml:space="preserve"> Diesel</v>
          </cell>
          <cell r="D141">
            <v>0</v>
          </cell>
          <cell r="E141">
            <v>10.1454</v>
          </cell>
        </row>
        <row r="142">
          <cell r="A142" t="str">
            <v>E912</v>
          </cell>
          <cell r="B142" t="str">
            <v xml:space="preserve">Máquina Manual: 1184 - furadeira elétrica de Impacto  </v>
          </cell>
          <cell r="C142" t="str">
            <v xml:space="preserve"> Elétrico</v>
          </cell>
          <cell r="D142">
            <v>0</v>
          </cell>
          <cell r="E142">
            <v>2.9499999999999998E-2</v>
          </cell>
        </row>
        <row r="143">
          <cell r="A143" t="str">
            <v>E914</v>
          </cell>
          <cell r="B143" t="str">
            <v xml:space="preserve">Compactador Manual: VPY-1750 - placa vibratória c/ motor  </v>
          </cell>
          <cell r="C143" t="str">
            <v xml:space="preserve"> Diesel</v>
          </cell>
          <cell r="D143">
            <v>3.7277999999999998</v>
          </cell>
          <cell r="E143">
            <v>5.5388999999999999</v>
          </cell>
        </row>
        <row r="144">
          <cell r="A144" t="str">
            <v>E915</v>
          </cell>
          <cell r="B144" t="str">
            <v xml:space="preserve">Vassoura Mecânica: equip. varred. aspirad.  </v>
          </cell>
          <cell r="C144" t="str">
            <v xml:space="preserve"> Diesel</v>
          </cell>
          <cell r="D144">
            <v>4.9703999999999997</v>
          </cell>
          <cell r="E144">
            <v>59.407400000000003</v>
          </cell>
        </row>
        <row r="145">
          <cell r="A145" t="str">
            <v>E916</v>
          </cell>
          <cell r="B145" t="str">
            <v xml:space="preserve">Máquina Manual: moto serra nº 8  </v>
          </cell>
          <cell r="C145" t="str">
            <v xml:space="preserve"> Gasolina</v>
          </cell>
          <cell r="D145">
            <v>3.7277999999999998</v>
          </cell>
          <cell r="E145">
            <v>7.4124999999999996</v>
          </cell>
        </row>
        <row r="146">
          <cell r="A146" t="str">
            <v>E917</v>
          </cell>
          <cell r="B146" t="str">
            <v xml:space="preserve">Máquina de Bancada: C-6A universal de corte p/ chapa  </v>
          </cell>
          <cell r="C146" t="str">
            <v xml:space="preserve"> Elétrico</v>
          </cell>
          <cell r="D146">
            <v>3.7277999999999998</v>
          </cell>
          <cell r="E146">
            <v>4.8696999999999999</v>
          </cell>
        </row>
        <row r="147">
          <cell r="A147" t="str">
            <v>E918</v>
          </cell>
          <cell r="B147" t="str">
            <v xml:space="preserve">Máquina de Bancada: EB-08 - prensa excêntrica  </v>
          </cell>
          <cell r="C147" t="str">
            <v xml:space="preserve"> Elétrico</v>
          </cell>
          <cell r="D147">
            <v>0</v>
          </cell>
          <cell r="E147">
            <v>0.41660000000000003</v>
          </cell>
        </row>
        <row r="148">
          <cell r="A148" t="str">
            <v>E919</v>
          </cell>
          <cell r="B148" t="str">
            <v xml:space="preserve">Máquina de Bancada: GMN 1202 - guilhotina   8 t  </v>
          </cell>
          <cell r="C148" t="str">
            <v xml:space="preserve"> Elétrico</v>
          </cell>
          <cell r="D148">
            <v>0</v>
          </cell>
          <cell r="E148">
            <v>0.94179999999999997</v>
          </cell>
        </row>
        <row r="149">
          <cell r="A149" t="str">
            <v>E920</v>
          </cell>
          <cell r="B149" t="str">
            <v xml:space="preserve">Máquina para Pintura: FX45-HSP - de faixa a quente p/ mat. termop.  </v>
          </cell>
          <cell r="C149" t="str">
            <v xml:space="preserve"> Diesel</v>
          </cell>
          <cell r="D149">
            <v>5.7469999999999999</v>
          </cell>
          <cell r="E149">
            <v>30.822399999999998</v>
          </cell>
        </row>
        <row r="150">
          <cell r="A150" t="str">
            <v>E921</v>
          </cell>
          <cell r="B150" t="str">
            <v xml:space="preserve">Fusor: 600 l  </v>
          </cell>
          <cell r="C150" t="str">
            <v xml:space="preserve"> Diesel</v>
          </cell>
          <cell r="D150">
            <v>0</v>
          </cell>
          <cell r="E150">
            <v>13.382400000000001</v>
          </cell>
        </row>
        <row r="151">
          <cell r="A151" t="str">
            <v>E922</v>
          </cell>
          <cell r="B151" t="str">
            <v xml:space="preserve">Martelete: perfurador/ rompedor elétrico 11316  </v>
          </cell>
          <cell r="C151" t="str">
            <v xml:space="preserve"> Elétrico</v>
          </cell>
          <cell r="D151">
            <v>3.7277999999999998</v>
          </cell>
          <cell r="E151">
            <v>4.0044000000000004</v>
          </cell>
        </row>
        <row r="152">
          <cell r="A152" t="str">
            <v>E923</v>
          </cell>
          <cell r="B152" t="str">
            <v xml:space="preserve">Máquina Manual: lixadeira 1353-7"  </v>
          </cell>
          <cell r="C152" t="str">
            <v xml:space="preserve"> Elétrico</v>
          </cell>
          <cell r="D152">
            <v>0</v>
          </cell>
          <cell r="E152">
            <v>7.5899999999999995E-2</v>
          </cell>
        </row>
        <row r="153">
          <cell r="A153" t="str">
            <v>E924</v>
          </cell>
          <cell r="B153" t="str">
            <v xml:space="preserve">Equip. para Solda: Bantam 2000 - transformador solda elétr. 250 amp  </v>
          </cell>
          <cell r="C153" t="str">
            <v xml:space="preserve"> Elétrico</v>
          </cell>
          <cell r="D153">
            <v>0</v>
          </cell>
          <cell r="E153">
            <v>3.73E-2</v>
          </cell>
        </row>
        <row r="154">
          <cell r="A154" t="str">
            <v>E925</v>
          </cell>
          <cell r="B154" t="str">
            <v xml:space="preserve">Aplicador de Material Termoplástico: por extrusão  </v>
          </cell>
          <cell r="C154" t="str">
            <v xml:space="preserve"> Diesel</v>
          </cell>
          <cell r="D154">
            <v>0</v>
          </cell>
          <cell r="E154">
            <v>4.17</v>
          </cell>
        </row>
      </sheetData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tado"/>
      <sheetName val="Realizado"/>
      <sheetName val="Produtividade Geral"/>
      <sheetName val="Painel de Vizualização"/>
      <sheetName val="Resumo Dinâmico"/>
    </sheetNames>
    <sheetDataSet>
      <sheetData sheetId="0">
        <row r="6">
          <cell r="L6" t="str">
            <v>Ailton</v>
          </cell>
        </row>
        <row r="7">
          <cell r="L7" t="str">
            <v>Antonio</v>
          </cell>
        </row>
        <row r="8">
          <cell r="L8" t="str">
            <v>Reinaldo</v>
          </cell>
        </row>
        <row r="9">
          <cell r="L9" t="str">
            <v>Severino</v>
          </cell>
        </row>
        <row r="10">
          <cell r="L10" t="str">
            <v>Hugo</v>
          </cell>
        </row>
        <row r="11">
          <cell r="L11" t="str">
            <v>Rosivan</v>
          </cell>
        </row>
        <row r="12">
          <cell r="L12" t="str">
            <v>Azevedo</v>
          </cell>
        </row>
        <row r="13">
          <cell r="L13" t="str">
            <v>Cristiano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ções"/>
      <sheetName val="METAFISICA DEZ2018"/>
      <sheetName val="ANALISE CRITICA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TAURAÇÃO 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M 06 ADITIVO"/>
      <sheetName val="MOV. DE TERRA"/>
      <sheetName val="MOVIMENTAÇÃO DE MATERIAL"/>
      <sheetName val="Table 25"/>
      <sheetName val="Table 26"/>
      <sheetName val="Table 27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39C63-E603-854F-A170-91A27F771C16}">
  <sheetPr>
    <pageSetUpPr fitToPage="1"/>
  </sheetPr>
  <dimension ref="A1:K29"/>
  <sheetViews>
    <sheetView showGridLines="0" tabSelected="1" view="pageBreakPreview" zoomScale="93" zoomScaleNormal="100" zoomScaleSheetLayoutView="93" workbookViewId="0">
      <selection activeCell="C15" sqref="C15"/>
    </sheetView>
  </sheetViews>
  <sheetFormatPr defaultColWidth="9" defaultRowHeight="12" x14ac:dyDescent="0.2"/>
  <cols>
    <col min="1" max="1" width="15.33203125" style="1" customWidth="1"/>
    <col min="2" max="2" width="89.1640625" style="1" customWidth="1"/>
    <col min="3" max="3" width="17.33203125" style="7" customWidth="1"/>
    <col min="4" max="4" width="18.6640625" style="3" customWidth="1"/>
    <col min="5" max="5" width="16.83203125" style="4" bestFit="1" customWidth="1"/>
    <col min="6" max="6" width="16.83203125" style="2" bestFit="1" customWidth="1"/>
    <col min="7" max="7" width="19.1640625" style="1" bestFit="1" customWidth="1"/>
    <col min="8" max="8" width="10.5" style="1" customWidth="1"/>
    <col min="9" max="9" width="10.6640625" style="1" customWidth="1"/>
    <col min="10" max="10" width="10.33203125" style="1" bestFit="1" customWidth="1"/>
    <col min="11" max="11" width="27.1640625" style="1" bestFit="1" customWidth="1"/>
    <col min="12" max="16384" width="9" style="1"/>
  </cols>
  <sheetData>
    <row r="1" spans="1:11" s="11" customFormat="1" ht="12.75" x14ac:dyDescent="0.2">
      <c r="A1" s="16"/>
      <c r="B1" s="17"/>
      <c r="C1" s="17"/>
      <c r="D1" s="17"/>
      <c r="E1" s="17"/>
      <c r="F1" s="17"/>
      <c r="G1" s="17"/>
      <c r="H1" s="17"/>
      <c r="I1" s="17"/>
      <c r="J1" s="18"/>
    </row>
    <row r="2" spans="1:11" s="11" customFormat="1" ht="12.75" x14ac:dyDescent="0.2">
      <c r="A2" s="376" t="s">
        <v>0</v>
      </c>
      <c r="B2" s="377"/>
      <c r="C2" s="19"/>
      <c r="D2" s="20"/>
      <c r="E2" s="13"/>
      <c r="J2" s="21"/>
    </row>
    <row r="3" spans="1:11" s="11" customFormat="1" ht="12.75" x14ac:dyDescent="0.2">
      <c r="A3" s="376"/>
      <c r="B3" s="377"/>
      <c r="C3" s="19"/>
      <c r="D3" s="20"/>
      <c r="E3" s="13"/>
      <c r="J3" s="21"/>
    </row>
    <row r="4" spans="1:11" s="11" customFormat="1" ht="12.75" x14ac:dyDescent="0.2">
      <c r="A4" s="22"/>
      <c r="B4" s="23"/>
      <c r="C4" s="343"/>
      <c r="D4" s="24"/>
      <c r="E4" s="13"/>
      <c r="J4" s="21"/>
    </row>
    <row r="5" spans="1:11" s="11" customFormat="1" ht="27.95" customHeight="1" x14ac:dyDescent="0.2">
      <c r="A5" s="376" t="s">
        <v>1</v>
      </c>
      <c r="B5" s="377"/>
      <c r="C5" s="377"/>
      <c r="D5" s="377"/>
      <c r="E5" s="377"/>
      <c r="J5" s="21"/>
    </row>
    <row r="6" spans="1:11" s="11" customFormat="1" ht="24" customHeight="1" x14ac:dyDescent="0.2">
      <c r="A6" s="342" t="s">
        <v>2</v>
      </c>
      <c r="B6" s="19" t="s">
        <v>3</v>
      </c>
      <c r="C6" s="97" t="s">
        <v>4</v>
      </c>
      <c r="D6" s="94" t="str">
        <f>'PLANILHA - BM 15 CT'!F9</f>
        <v>08/05/25 à 31/05/25</v>
      </c>
      <c r="E6" s="13"/>
      <c r="J6" s="21"/>
    </row>
    <row r="7" spans="1:11" s="11" customFormat="1" ht="12.75" x14ac:dyDescent="0.2">
      <c r="A7" s="25" t="s">
        <v>5</v>
      </c>
      <c r="B7" s="19" t="str">
        <f>'PLANILHA - BM 15 CT'!B9</f>
        <v>CT 054/23</v>
      </c>
      <c r="C7" s="32"/>
      <c r="D7" s="24"/>
      <c r="E7" s="13"/>
      <c r="J7" s="21"/>
    </row>
    <row r="8" spans="1:11" s="11" customFormat="1" ht="12.75" x14ac:dyDescent="0.2">
      <c r="A8" s="25"/>
      <c r="B8" s="19"/>
      <c r="C8" s="96" t="s">
        <v>6</v>
      </c>
      <c r="D8" s="95">
        <f>'PLANILHA - BM 15 CT'!F8</f>
        <v>15</v>
      </c>
      <c r="E8" s="13"/>
      <c r="J8" s="21"/>
    </row>
    <row r="9" spans="1:11" s="11" customFormat="1" ht="12.75" x14ac:dyDescent="0.2">
      <c r="A9" s="25"/>
      <c r="C9" s="343"/>
      <c r="D9" s="24"/>
      <c r="E9" s="13"/>
      <c r="J9" s="21"/>
    </row>
    <row r="10" spans="1:11" s="11" customFormat="1" ht="18" x14ac:dyDescent="0.2">
      <c r="A10" s="378" t="s">
        <v>7</v>
      </c>
      <c r="B10" s="379"/>
      <c r="C10" s="379"/>
      <c r="D10" s="379"/>
      <c r="E10" s="379"/>
      <c r="F10" s="379"/>
      <c r="G10" s="379"/>
      <c r="H10" s="379"/>
      <c r="I10" s="379"/>
      <c r="J10" s="380"/>
    </row>
    <row r="11" spans="1:11" s="11" customFormat="1" ht="12.75" x14ac:dyDescent="0.2">
      <c r="A11" s="26" t="s">
        <v>8</v>
      </c>
      <c r="B11" s="15" t="s">
        <v>9</v>
      </c>
      <c r="C11" s="12"/>
      <c r="D11" s="13"/>
      <c r="E11" s="14"/>
      <c r="J11" s="27"/>
    </row>
    <row r="12" spans="1:11" s="11" customFormat="1" ht="12.75" x14ac:dyDescent="0.2">
      <c r="A12" s="28" t="s">
        <v>10</v>
      </c>
      <c r="B12" s="29" t="s">
        <v>11</v>
      </c>
      <c r="C12" s="29"/>
      <c r="D12" s="29"/>
      <c r="E12" s="30"/>
      <c r="F12" s="30"/>
      <c r="G12" s="30"/>
      <c r="H12" s="30"/>
      <c r="I12" s="30"/>
      <c r="J12" s="31"/>
    </row>
    <row r="13" spans="1:11" ht="38.25" x14ac:dyDescent="0.2">
      <c r="A13" s="36" t="s">
        <v>12</v>
      </c>
      <c r="B13" s="88" t="s">
        <v>13</v>
      </c>
      <c r="C13" s="88" t="s">
        <v>14</v>
      </c>
      <c r="D13" s="344" t="s">
        <v>15</v>
      </c>
      <c r="E13" s="88" t="s">
        <v>16</v>
      </c>
      <c r="F13" s="344" t="s">
        <v>17</v>
      </c>
      <c r="G13" s="33" t="s">
        <v>18</v>
      </c>
      <c r="H13" s="349" t="s">
        <v>19</v>
      </c>
      <c r="I13" s="349" t="s">
        <v>20</v>
      </c>
      <c r="J13" s="349" t="s">
        <v>21</v>
      </c>
      <c r="K13" s="10"/>
    </row>
    <row r="14" spans="1:11" s="37" customFormat="1" ht="12.75" x14ac:dyDescent="0.2">
      <c r="A14" s="82" t="str">
        <f>'PLANILHA - BM 15 CT'!A13</f>
        <v>01</v>
      </c>
      <c r="B14" s="83" t="str">
        <f>'PLANILHA - BM 15 CT'!C13</f>
        <v>SERVIÇOS PRELIMINARES</v>
      </c>
      <c r="C14" s="89">
        <f>'PLANILHA - BM 15 CT'!L$13</f>
        <v>55951.119999999995</v>
      </c>
      <c r="D14" s="89">
        <f>'PLANILHA - BM 15 CT'!M$13</f>
        <v>46445.45</v>
      </c>
      <c r="E14" s="89">
        <f>'PLANILHA - BM 15 CT'!N$13</f>
        <v>0</v>
      </c>
      <c r="F14" s="89">
        <f>'PLANILHA - BM 15 CT'!O$13</f>
        <v>46445.45</v>
      </c>
      <c r="G14" s="89">
        <f>'PLANILHA - BM 15 CT'!P$13</f>
        <v>9505.67</v>
      </c>
      <c r="H14" s="101">
        <f>E14/C14*100</f>
        <v>0</v>
      </c>
      <c r="I14" s="101">
        <f>F14/C14*100</f>
        <v>83.010760106321385</v>
      </c>
      <c r="J14" s="101">
        <f>G14/C14*100</f>
        <v>16.989239893678626</v>
      </c>
    </row>
    <row r="15" spans="1:11" s="37" customFormat="1" ht="12.75" x14ac:dyDescent="0.2">
      <c r="A15" s="84" t="str">
        <f>'PLANILHA - BM 15 CT'!A23</f>
        <v>02</v>
      </c>
      <c r="B15" s="85" t="str">
        <f>'PLANILHA - BM 15 CT'!C23</f>
        <v>CANTEIRO DA OBRA</v>
      </c>
      <c r="C15" s="92">
        <f>'PLANILHA - BM 15 CT'!L$23</f>
        <v>160840.31</v>
      </c>
      <c r="D15" s="92">
        <f>'PLANILHA - BM 15 CT'!M$23</f>
        <v>160840.31</v>
      </c>
      <c r="E15" s="92">
        <f>'PLANILHA - BM 15 CT'!N$23</f>
        <v>0</v>
      </c>
      <c r="F15" s="92">
        <f>'PLANILHA - BM 15 CT'!O$23</f>
        <v>160840.31</v>
      </c>
      <c r="G15" s="92">
        <f>'PLANILHA - BM 15 CT'!P$23</f>
        <v>0</v>
      </c>
      <c r="H15" s="101">
        <f t="shared" ref="H15:H22" si="0">E15/C15*100</f>
        <v>0</v>
      </c>
      <c r="I15" s="101">
        <f t="shared" ref="I15:I22" si="1">F15/C15*100</f>
        <v>100</v>
      </c>
      <c r="J15" s="101">
        <f t="shared" ref="J15:J22" si="2">G15/C15*100</f>
        <v>0</v>
      </c>
    </row>
    <row r="16" spans="1:11" s="37" customFormat="1" ht="12.75" x14ac:dyDescent="0.2">
      <c r="A16" s="84" t="str">
        <f>'PLANILHA - BM 15 CT'!A49</f>
        <v>03</v>
      </c>
      <c r="B16" s="85" t="str">
        <f>'PLANILHA - BM 15 CT'!C49</f>
        <v>TERRAPLENAGEM</v>
      </c>
      <c r="C16" s="92">
        <f>'PLANILHA - BM 15 CT'!L$49</f>
        <v>1131946.92</v>
      </c>
      <c r="D16" s="92">
        <f>'PLANILHA - BM 15 CT'!M$49</f>
        <v>1051776.3699999999</v>
      </c>
      <c r="E16" s="92">
        <f>'PLANILHA - BM 15 CT'!N$49</f>
        <v>0</v>
      </c>
      <c r="F16" s="92">
        <f>'PLANILHA - BM 15 CT'!O$49</f>
        <v>1051776.3699999999</v>
      </c>
      <c r="G16" s="92">
        <f>'PLANILHA - BM 15 CT'!P$49</f>
        <v>80170.559999999998</v>
      </c>
      <c r="H16" s="101">
        <f t="shared" si="0"/>
        <v>0</v>
      </c>
      <c r="I16" s="101">
        <f t="shared" si="1"/>
        <v>92.917463833021415</v>
      </c>
      <c r="J16" s="101">
        <f t="shared" si="2"/>
        <v>7.0825370504122231</v>
      </c>
    </row>
    <row r="17" spans="1:11" s="37" customFormat="1" ht="12.75" x14ac:dyDescent="0.2">
      <c r="A17" s="84" t="str">
        <f>'PLANILHA - BM 15 CT'!A61</f>
        <v>04</v>
      </c>
      <c r="B17" s="85" t="str">
        <f>'PLANILHA - BM 15 CT'!C61</f>
        <v>DRENAGEM PLUVIAL</v>
      </c>
      <c r="C17" s="92">
        <f>'PLANILHA - BM 15 CT'!L$61</f>
        <v>2093699.4400000006</v>
      </c>
      <c r="D17" s="92">
        <f>'PLANILHA - BM 15 CT'!M$61</f>
        <v>1214629.8399999999</v>
      </c>
      <c r="E17" s="92">
        <f>'PLANILHA - BM 15 CT'!N$61</f>
        <v>12521.769999999999</v>
      </c>
      <c r="F17" s="92">
        <f>'PLANILHA - BM 15 CT'!O$61</f>
        <v>1227151.5999999999</v>
      </c>
      <c r="G17" s="92">
        <f>'PLANILHA - BM 15 CT'!P$61</f>
        <v>866549.64</v>
      </c>
      <c r="H17" s="101">
        <f t="shared" si="0"/>
        <v>0.59806912877619123</v>
      </c>
      <c r="I17" s="101">
        <f t="shared" si="1"/>
        <v>58.611641029048535</v>
      </c>
      <c r="J17" s="101">
        <f t="shared" si="2"/>
        <v>41.388444943176737</v>
      </c>
    </row>
    <row r="18" spans="1:11" s="37" customFormat="1" ht="12.75" x14ac:dyDescent="0.2">
      <c r="A18" s="84" t="str">
        <f>'PLANILHA - BM 15 CT'!A126</f>
        <v>05</v>
      </c>
      <c r="B18" s="85" t="str">
        <f>'PLANILHA - BM 15 CT'!C126</f>
        <v>PAVIMENTAÇÃO</v>
      </c>
      <c r="C18" s="92">
        <f>'PLANILHA - BM 15 CT'!L$126</f>
        <v>4362162.92</v>
      </c>
      <c r="D18" s="92">
        <f>'PLANILHA - BM 15 CT'!M$126</f>
        <v>3362193.5299999993</v>
      </c>
      <c r="E18" s="92">
        <f>'PLANILHA - BM 15 CT'!N$126</f>
        <v>578952.76</v>
      </c>
      <c r="F18" s="92">
        <f>'PLANILHA - BM 15 CT'!O$126</f>
        <v>3941146.2799999993</v>
      </c>
      <c r="G18" s="92">
        <f>'PLANILHA - BM 15 CT'!P$126</f>
        <v>421016.31</v>
      </c>
      <c r="H18" s="101">
        <f t="shared" si="0"/>
        <v>13.272148945780321</v>
      </c>
      <c r="I18" s="101">
        <f t="shared" si="1"/>
        <v>90.348443015053618</v>
      </c>
      <c r="J18" s="101">
        <f t="shared" si="2"/>
        <v>9.651549419891909</v>
      </c>
    </row>
    <row r="19" spans="1:11" s="37" customFormat="1" ht="12.75" x14ac:dyDescent="0.2">
      <c r="A19" s="84" t="str">
        <f>'PLANILHA - BM 15 CT'!A159</f>
        <v>06</v>
      </c>
      <c r="B19" s="85" t="str">
        <f>'PLANILHA - BM 15 CT'!C159</f>
        <v>SINALIZAÇÃO VIARIA</v>
      </c>
      <c r="C19" s="92">
        <f>'PLANILHA - BM 15 CT'!L$159</f>
        <v>541342.48</v>
      </c>
      <c r="D19" s="92">
        <f>'PLANILHA - BM 15 CT'!M$159</f>
        <v>0</v>
      </c>
      <c r="E19" s="92">
        <f>'PLANILHA - BM 15 CT'!N$159</f>
        <v>0</v>
      </c>
      <c r="F19" s="92">
        <f>'PLANILHA - BM 15 CT'!O$159</f>
        <v>0</v>
      </c>
      <c r="G19" s="92">
        <f>'PLANILHA - BM 15 CT'!P$159</f>
        <v>541342.48</v>
      </c>
      <c r="H19" s="101">
        <f t="shared" si="0"/>
        <v>0</v>
      </c>
      <c r="I19" s="101">
        <f t="shared" si="1"/>
        <v>0</v>
      </c>
      <c r="J19" s="101">
        <f t="shared" si="2"/>
        <v>100</v>
      </c>
    </row>
    <row r="20" spans="1:11" s="37" customFormat="1" ht="12.75" x14ac:dyDescent="0.2">
      <c r="A20" s="84" t="str">
        <f>'PLANILHA - BM 15 CT'!A174</f>
        <v>07</v>
      </c>
      <c r="B20" s="85" t="str">
        <f>'PLANILHA - BM 15 CT'!C174</f>
        <v>OBRAS COMPLEMENTARES</v>
      </c>
      <c r="C20" s="92">
        <f>'PLANILHA - BM 15 CT'!L$174</f>
        <v>704610.42</v>
      </c>
      <c r="D20" s="92">
        <f>'PLANILHA - BM 15 CT'!M$174</f>
        <v>153747.39000000001</v>
      </c>
      <c r="E20" s="92">
        <f>'PLANILHA - BM 15 CT'!N$174</f>
        <v>0</v>
      </c>
      <c r="F20" s="92">
        <f>'PLANILHA - BM 15 CT'!O$174</f>
        <v>153747.39000000001</v>
      </c>
      <c r="G20" s="92">
        <f>'PLANILHA - BM 15 CT'!P$174</f>
        <v>550863.02999999991</v>
      </c>
      <c r="H20" s="101">
        <f t="shared" si="0"/>
        <v>0</v>
      </c>
      <c r="I20" s="101">
        <f t="shared" si="1"/>
        <v>21.820198174191066</v>
      </c>
      <c r="J20" s="101">
        <f t="shared" si="2"/>
        <v>78.179801825808909</v>
      </c>
    </row>
    <row r="21" spans="1:11" s="37" customFormat="1" ht="12.75" x14ac:dyDescent="0.2">
      <c r="A21" s="86" t="str">
        <f>'PLANILHA - BM 15 CT'!A191</f>
        <v>08</v>
      </c>
      <c r="B21" s="87" t="str">
        <f>'PLANILHA - BM 15 CT'!C191</f>
        <v>ADMINISTRAÇÃO DO EMPREENDIMENTO</v>
      </c>
      <c r="C21" s="93">
        <f>'PLANILHA - BM 15 CT'!L$191</f>
        <v>254083.18999999997</v>
      </c>
      <c r="D21" s="93">
        <f>'PLANILHA - BM 15 CT'!M$191</f>
        <v>154294.50000000003</v>
      </c>
      <c r="E21" s="93">
        <f>'PLANILHA - BM 15 CT'!N$191</f>
        <v>26431.320000000003</v>
      </c>
      <c r="F21" s="93">
        <f>'PLANILHA - BM 15 CT'!O$191</f>
        <v>180725.82</v>
      </c>
      <c r="G21" s="93">
        <f>'PLANILHA - BM 15 CT'!P$191</f>
        <v>74178.94</v>
      </c>
      <c r="H21" s="101">
        <f t="shared" si="0"/>
        <v>10.402624431785513</v>
      </c>
      <c r="I21" s="101">
        <f t="shared" si="1"/>
        <v>71.128601620595219</v>
      </c>
      <c r="J21" s="101">
        <f t="shared" si="2"/>
        <v>29.19474523285071</v>
      </c>
    </row>
    <row r="22" spans="1:11" s="37" customFormat="1" ht="12.75" x14ac:dyDescent="0.2">
      <c r="A22" s="86" t="str">
        <f>'PLANILHA - BM 15 CT'!A198</f>
        <v>09</v>
      </c>
      <c r="B22" s="87" t="str">
        <f>'PLANILHA - BM 15 CT'!C198</f>
        <v>AQUISIÇÃO DE MATERIAIS BETUMINOSOS</v>
      </c>
      <c r="C22" s="93">
        <f>'PLANILHA - BM 15 CT'!L$198</f>
        <v>2983569.2499999995</v>
      </c>
      <c r="D22" s="93">
        <f>'PLANILHA - BM 15 CT'!M$198</f>
        <v>1405610.6500000001</v>
      </c>
      <c r="E22" s="93">
        <f>'PLANILHA - BM 15 CT'!N$198</f>
        <v>733352.02</v>
      </c>
      <c r="F22" s="93">
        <f>'PLANILHA - BM 15 CT'!O$198</f>
        <v>2138962.67</v>
      </c>
      <c r="G22" s="93">
        <f>'PLANILHA - BM 15 CT'!P$198</f>
        <v>844639.5</v>
      </c>
      <c r="H22" s="101">
        <f t="shared" si="0"/>
        <v>24.579688237502786</v>
      </c>
      <c r="I22" s="101">
        <f t="shared" si="1"/>
        <v>71.691403509404054</v>
      </c>
      <c r="J22" s="101">
        <f t="shared" si="2"/>
        <v>28.309699867030076</v>
      </c>
    </row>
    <row r="23" spans="1:11" s="6" customFormat="1" ht="12.75" x14ac:dyDescent="0.2">
      <c r="A23" s="81"/>
      <c r="B23" s="90" t="s">
        <v>22</v>
      </c>
      <c r="C23" s="91">
        <f>SUM(C14:C22)</f>
        <v>12288206.050000001</v>
      </c>
      <c r="D23" s="91">
        <f t="shared" ref="D23:G23" si="3">SUM(D14:D22)</f>
        <v>7549538.0399999991</v>
      </c>
      <c r="E23" s="91">
        <f t="shared" si="3"/>
        <v>1351257.87</v>
      </c>
      <c r="F23" s="91">
        <f t="shared" si="3"/>
        <v>8900795.8899999987</v>
      </c>
      <c r="G23" s="91">
        <f t="shared" si="3"/>
        <v>3388266.13</v>
      </c>
      <c r="H23" s="91">
        <f>E23/$C$23*100</f>
        <v>10.996380305650881</v>
      </c>
      <c r="I23" s="91">
        <f>F23/$C$23*100</f>
        <v>72.433647790272843</v>
      </c>
      <c r="J23" s="91">
        <f>G23/$C$23*100</f>
        <v>27.573317994614843</v>
      </c>
      <c r="K23" s="9"/>
    </row>
    <row r="24" spans="1:11" ht="23.1" customHeight="1" x14ac:dyDescent="0.2">
      <c r="A24" s="373"/>
      <c r="B24" s="374"/>
      <c r="C24" s="374"/>
      <c r="D24" s="374"/>
      <c r="E24" s="374"/>
      <c r="F24" s="374"/>
      <c r="G24" s="374"/>
      <c r="H24" s="374"/>
      <c r="I24" s="374"/>
      <c r="J24" s="375"/>
    </row>
    <row r="29" spans="1:11" ht="12.75" x14ac:dyDescent="0.2">
      <c r="E29" s="5"/>
    </row>
  </sheetData>
  <mergeCells count="4">
    <mergeCell ref="A24:J24"/>
    <mergeCell ref="A2:B3"/>
    <mergeCell ref="A5:E5"/>
    <mergeCell ref="A10:J10"/>
  </mergeCells>
  <pageMargins left="0.511811024" right="0.511811024" top="0.78740157499999996" bottom="0.78740157499999996" header="0.31496062000000002" footer="0.31496062000000002"/>
  <pageSetup paperSize="9" scale="6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1F97-48A7-4083-A9FF-A9D7565AF174}">
  <sheetPr>
    <pageSetUpPr fitToPage="1"/>
  </sheetPr>
  <dimension ref="A1:Q95"/>
  <sheetViews>
    <sheetView view="pageBreakPreview" topLeftCell="A26" zoomScale="85" zoomScaleNormal="100" zoomScaleSheetLayoutView="85" workbookViewId="0">
      <selection activeCell="A24" sqref="A24:B24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503"/>
      <c r="B1" s="504"/>
      <c r="C1" s="505"/>
      <c r="D1" s="506" t="s">
        <v>852</v>
      </c>
      <c r="E1" s="504"/>
      <c r="F1" s="507"/>
      <c r="G1" s="508"/>
      <c r="H1" s="509"/>
      <c r="I1" s="508"/>
    </row>
    <row r="2" spans="1:9" ht="19.149999999999999" customHeight="1" x14ac:dyDescent="0.2">
      <c r="A2" s="465" t="s">
        <v>853</v>
      </c>
      <c r="B2" s="465"/>
      <c r="C2" s="498" t="s">
        <v>854</v>
      </c>
      <c r="D2" s="498"/>
      <c r="E2" s="498"/>
      <c r="F2" s="510"/>
      <c r="G2" s="504"/>
      <c r="H2" s="504"/>
      <c r="I2" s="505"/>
    </row>
    <row r="3" spans="1:9" ht="18" customHeight="1" x14ac:dyDescent="0.2">
      <c r="A3" s="465" t="s">
        <v>855</v>
      </c>
      <c r="B3" s="465"/>
      <c r="C3" s="498" t="s">
        <v>856</v>
      </c>
      <c r="D3" s="498"/>
      <c r="E3" s="498"/>
      <c r="F3" s="285" t="s">
        <v>857</v>
      </c>
      <c r="G3" s="499" t="s">
        <v>858</v>
      </c>
      <c r="H3" s="499"/>
      <c r="I3" s="499"/>
    </row>
    <row r="4" spans="1:9" ht="19.149999999999999" customHeight="1" x14ac:dyDescent="0.2">
      <c r="A4" s="465" t="s">
        <v>859</v>
      </c>
      <c r="B4" s="465"/>
      <c r="C4" s="498" t="s">
        <v>860</v>
      </c>
      <c r="D4" s="498"/>
      <c r="E4" s="498"/>
      <c r="F4" s="286" t="s">
        <v>861</v>
      </c>
      <c r="G4" s="500" t="s">
        <v>862</v>
      </c>
      <c r="H4" s="501"/>
      <c r="I4" s="502"/>
    </row>
    <row r="5" spans="1:9" ht="16.5" customHeight="1" x14ac:dyDescent="0.2">
      <c r="A5" s="465" t="s">
        <v>661</v>
      </c>
      <c r="B5" s="465"/>
      <c r="C5" s="466" t="s">
        <v>662</v>
      </c>
      <c r="D5" s="466"/>
      <c r="E5" s="465" t="s">
        <v>663</v>
      </c>
      <c r="F5" s="511" t="s">
        <v>665</v>
      </c>
      <c r="G5" s="512"/>
      <c r="H5" s="513" t="s">
        <v>666</v>
      </c>
      <c r="I5" s="514"/>
    </row>
    <row r="6" spans="1:9" ht="14.25" customHeight="1" x14ac:dyDescent="0.2">
      <c r="A6" s="465"/>
      <c r="B6" s="465"/>
      <c r="C6" s="354" t="s">
        <v>667</v>
      </c>
      <c r="D6" s="354" t="s">
        <v>668</v>
      </c>
      <c r="E6" s="465"/>
      <c r="F6" s="354" t="s">
        <v>667</v>
      </c>
      <c r="G6" s="354" t="s">
        <v>668</v>
      </c>
      <c r="H6" s="354" t="s">
        <v>667</v>
      </c>
      <c r="I6" s="354" t="s">
        <v>668</v>
      </c>
    </row>
    <row r="7" spans="1:9" ht="14.25" customHeight="1" x14ac:dyDescent="0.2">
      <c r="A7" s="479" t="s">
        <v>863</v>
      </c>
      <c r="B7" s="479"/>
      <c r="C7" s="356">
        <v>0</v>
      </c>
      <c r="D7" s="356">
        <v>6.3417000000000003</v>
      </c>
      <c r="E7" s="356">
        <v>0</v>
      </c>
      <c r="F7" s="356">
        <f>E7*C7</f>
        <v>0</v>
      </c>
      <c r="G7" s="356">
        <f>E7*D7</f>
        <v>0</v>
      </c>
      <c r="H7" s="356">
        <f>F7</f>
        <v>0</v>
      </c>
      <c r="I7" s="356">
        <f>G7</f>
        <v>0</v>
      </c>
    </row>
    <row r="8" spans="1:9" ht="14.25" customHeight="1" x14ac:dyDescent="0.2">
      <c r="A8" s="479" t="s">
        <v>683</v>
      </c>
      <c r="B8" s="479"/>
      <c r="C8" s="356">
        <v>0</v>
      </c>
      <c r="D8" s="356">
        <v>8.6852</v>
      </c>
      <c r="E8" s="356">
        <v>10</v>
      </c>
      <c r="F8" s="356">
        <f>E8*C8</f>
        <v>0</v>
      </c>
      <c r="G8" s="356">
        <f>E8*D8</f>
        <v>86.852000000000004</v>
      </c>
      <c r="H8" s="356">
        <f>H7+F8</f>
        <v>0</v>
      </c>
      <c r="I8" s="356">
        <f>I7+G8</f>
        <v>86.852000000000004</v>
      </c>
    </row>
    <row r="9" spans="1:9" ht="14.25" customHeight="1" x14ac:dyDescent="0.2">
      <c r="A9" s="479" t="s">
        <v>864</v>
      </c>
      <c r="B9" s="479"/>
      <c r="C9" s="356">
        <v>0</v>
      </c>
      <c r="D9" s="356">
        <v>10.933400000000001</v>
      </c>
      <c r="E9" s="356">
        <v>10</v>
      </c>
      <c r="F9" s="356">
        <f t="shared" ref="F9:F89" si="0">E9*C9</f>
        <v>0</v>
      </c>
      <c r="G9" s="356">
        <f t="shared" ref="G9:G89" si="1">E9*D9</f>
        <v>109.334</v>
      </c>
      <c r="H9" s="356">
        <f t="shared" ref="H9:I24" si="2">H8+F9</f>
        <v>0</v>
      </c>
      <c r="I9" s="356">
        <f t="shared" si="2"/>
        <v>196.18600000000001</v>
      </c>
    </row>
    <row r="10" spans="1:9" ht="14.25" customHeight="1" x14ac:dyDescent="0.2">
      <c r="A10" s="479" t="s">
        <v>685</v>
      </c>
      <c r="B10" s="479"/>
      <c r="C10" s="356">
        <v>0</v>
      </c>
      <c r="D10" s="356">
        <v>12.6188</v>
      </c>
      <c r="E10" s="356">
        <v>10</v>
      </c>
      <c r="F10" s="356">
        <f t="shared" si="0"/>
        <v>0</v>
      </c>
      <c r="G10" s="356">
        <f t="shared" si="1"/>
        <v>126.188</v>
      </c>
      <c r="H10" s="356">
        <f t="shared" si="2"/>
        <v>0</v>
      </c>
      <c r="I10" s="356">
        <f t="shared" si="2"/>
        <v>322.37400000000002</v>
      </c>
    </row>
    <row r="11" spans="1:9" ht="14.25" customHeight="1" x14ac:dyDescent="0.2">
      <c r="A11" s="479" t="s">
        <v>865</v>
      </c>
      <c r="B11" s="479"/>
      <c r="C11" s="356">
        <v>0</v>
      </c>
      <c r="D11" s="356">
        <v>14.808199999999999</v>
      </c>
      <c r="E11" s="356">
        <v>10</v>
      </c>
      <c r="F11" s="356">
        <f t="shared" si="0"/>
        <v>0</v>
      </c>
      <c r="G11" s="356">
        <f t="shared" si="1"/>
        <v>148.08199999999999</v>
      </c>
      <c r="H11" s="356">
        <f t="shared" si="2"/>
        <v>0</v>
      </c>
      <c r="I11" s="356">
        <f t="shared" si="2"/>
        <v>470.45600000000002</v>
      </c>
    </row>
    <row r="12" spans="1:9" ht="14.25" customHeight="1" x14ac:dyDescent="0.2">
      <c r="A12" s="479" t="s">
        <v>687</v>
      </c>
      <c r="B12" s="479"/>
      <c r="C12" s="356">
        <v>0</v>
      </c>
      <c r="D12" s="356">
        <v>16.796700000000001</v>
      </c>
      <c r="E12" s="356">
        <v>10</v>
      </c>
      <c r="F12" s="356">
        <f t="shared" si="0"/>
        <v>0</v>
      </c>
      <c r="G12" s="356">
        <f t="shared" si="1"/>
        <v>167.96700000000001</v>
      </c>
      <c r="H12" s="356">
        <f t="shared" si="2"/>
        <v>0</v>
      </c>
      <c r="I12" s="356">
        <f t="shared" si="2"/>
        <v>638.423</v>
      </c>
    </row>
    <row r="13" spans="1:9" ht="14.25" customHeight="1" x14ac:dyDescent="0.2">
      <c r="A13" s="479" t="s">
        <v>866</v>
      </c>
      <c r="B13" s="479"/>
      <c r="C13" s="356">
        <v>0</v>
      </c>
      <c r="D13" s="356">
        <v>18.733599999999999</v>
      </c>
      <c r="E13" s="356">
        <v>10</v>
      </c>
      <c r="F13" s="356">
        <f t="shared" si="0"/>
        <v>0</v>
      </c>
      <c r="G13" s="356">
        <f t="shared" si="1"/>
        <v>187.33599999999998</v>
      </c>
      <c r="H13" s="356">
        <f t="shared" si="2"/>
        <v>0</v>
      </c>
      <c r="I13" s="356">
        <f t="shared" si="2"/>
        <v>825.75900000000001</v>
      </c>
    </row>
    <row r="14" spans="1:9" ht="14.25" customHeight="1" x14ac:dyDescent="0.2">
      <c r="A14" s="479" t="s">
        <v>689</v>
      </c>
      <c r="B14" s="479"/>
      <c r="C14" s="356">
        <v>0</v>
      </c>
      <c r="D14" s="356">
        <v>16.795200000000001</v>
      </c>
      <c r="E14" s="356">
        <v>10</v>
      </c>
      <c r="F14" s="356">
        <f t="shared" si="0"/>
        <v>0</v>
      </c>
      <c r="G14" s="356">
        <f t="shared" si="1"/>
        <v>167.952</v>
      </c>
      <c r="H14" s="356">
        <f t="shared" si="2"/>
        <v>0</v>
      </c>
      <c r="I14" s="356">
        <f t="shared" si="2"/>
        <v>993.71100000000001</v>
      </c>
    </row>
    <row r="15" spans="1:9" ht="14.25" customHeight="1" x14ac:dyDescent="0.2">
      <c r="A15" s="479" t="s">
        <v>867</v>
      </c>
      <c r="B15" s="479"/>
      <c r="C15" s="356">
        <v>0</v>
      </c>
      <c r="D15" s="356">
        <v>15.9955</v>
      </c>
      <c r="E15" s="356">
        <v>10</v>
      </c>
      <c r="F15" s="356">
        <f t="shared" si="0"/>
        <v>0</v>
      </c>
      <c r="G15" s="356">
        <f t="shared" si="1"/>
        <v>159.95499999999998</v>
      </c>
      <c r="H15" s="356">
        <f t="shared" si="2"/>
        <v>0</v>
      </c>
      <c r="I15" s="356">
        <f t="shared" si="2"/>
        <v>1153.6659999999999</v>
      </c>
    </row>
    <row r="16" spans="1:9" ht="14.25" customHeight="1" x14ac:dyDescent="0.2">
      <c r="A16" s="479" t="s">
        <v>691</v>
      </c>
      <c r="B16" s="479"/>
      <c r="C16" s="356">
        <v>0</v>
      </c>
      <c r="D16" s="356">
        <v>14.7125</v>
      </c>
      <c r="E16" s="356">
        <v>10</v>
      </c>
      <c r="F16" s="356">
        <f t="shared" si="0"/>
        <v>0</v>
      </c>
      <c r="G16" s="356">
        <f t="shared" si="1"/>
        <v>147.125</v>
      </c>
      <c r="H16" s="356">
        <f t="shared" si="2"/>
        <v>0</v>
      </c>
      <c r="I16" s="356">
        <f t="shared" si="2"/>
        <v>1300.7909999999999</v>
      </c>
    </row>
    <row r="17" spans="1:17" ht="14.25" customHeight="1" x14ac:dyDescent="0.2">
      <c r="A17" s="479" t="s">
        <v>868</v>
      </c>
      <c r="B17" s="479"/>
      <c r="C17" s="356">
        <v>0</v>
      </c>
      <c r="D17" s="356">
        <v>13.728300000000001</v>
      </c>
      <c r="E17" s="356">
        <v>10</v>
      </c>
      <c r="F17" s="356">
        <f t="shared" si="0"/>
        <v>0</v>
      </c>
      <c r="G17" s="356">
        <f t="shared" si="1"/>
        <v>137.28300000000002</v>
      </c>
      <c r="H17" s="356">
        <f t="shared" si="2"/>
        <v>0</v>
      </c>
      <c r="I17" s="356">
        <f t="shared" si="2"/>
        <v>1438.0740000000001</v>
      </c>
    </row>
    <row r="18" spans="1:17" ht="14.25" customHeight="1" x14ac:dyDescent="0.2">
      <c r="A18" s="479" t="s">
        <v>693</v>
      </c>
      <c r="B18" s="479"/>
      <c r="C18" s="356">
        <v>0</v>
      </c>
      <c r="D18" s="356">
        <v>12.870100000000001</v>
      </c>
      <c r="E18" s="356">
        <v>10</v>
      </c>
      <c r="F18" s="356">
        <f t="shared" si="0"/>
        <v>0</v>
      </c>
      <c r="G18" s="356">
        <f t="shared" si="1"/>
        <v>128.70100000000002</v>
      </c>
      <c r="H18" s="356">
        <f t="shared" si="2"/>
        <v>0</v>
      </c>
      <c r="I18" s="356">
        <f t="shared" si="2"/>
        <v>1566.7750000000001</v>
      </c>
    </row>
    <row r="19" spans="1:17" ht="14.25" customHeight="1" x14ac:dyDescent="0.2">
      <c r="A19" s="479" t="s">
        <v>869</v>
      </c>
      <c r="B19" s="479"/>
      <c r="C19" s="356">
        <v>0</v>
      </c>
      <c r="D19" s="356">
        <v>11.838900000000001</v>
      </c>
      <c r="E19" s="356">
        <v>10</v>
      </c>
      <c r="F19" s="356">
        <f t="shared" si="0"/>
        <v>0</v>
      </c>
      <c r="G19" s="356">
        <f t="shared" si="1"/>
        <v>118.38900000000001</v>
      </c>
      <c r="H19" s="356">
        <f t="shared" si="2"/>
        <v>0</v>
      </c>
      <c r="I19" s="356">
        <f t="shared" si="2"/>
        <v>1685.1640000000002</v>
      </c>
    </row>
    <row r="20" spans="1:17" ht="14.25" customHeight="1" x14ac:dyDescent="0.2">
      <c r="A20" s="479" t="s">
        <v>695</v>
      </c>
      <c r="B20" s="479"/>
      <c r="C20" s="356">
        <v>0</v>
      </c>
      <c r="D20" s="356">
        <v>12.0108</v>
      </c>
      <c r="E20" s="356">
        <v>10</v>
      </c>
      <c r="F20" s="356">
        <f t="shared" si="0"/>
        <v>0</v>
      </c>
      <c r="G20" s="356">
        <f t="shared" si="1"/>
        <v>120.108</v>
      </c>
      <c r="H20" s="356">
        <f t="shared" si="2"/>
        <v>0</v>
      </c>
      <c r="I20" s="356">
        <f t="shared" si="2"/>
        <v>1805.2720000000002</v>
      </c>
    </row>
    <row r="21" spans="1:17" ht="14.25" customHeight="1" x14ac:dyDescent="0.2">
      <c r="A21" s="479" t="s">
        <v>870</v>
      </c>
      <c r="B21" s="479"/>
      <c r="C21" s="356">
        <v>0</v>
      </c>
      <c r="D21" s="356">
        <v>12.588800000000001</v>
      </c>
      <c r="E21" s="356">
        <v>10</v>
      </c>
      <c r="F21" s="356">
        <f t="shared" si="0"/>
        <v>0</v>
      </c>
      <c r="G21" s="356">
        <f t="shared" si="1"/>
        <v>125.88800000000001</v>
      </c>
      <c r="H21" s="356">
        <f t="shared" si="2"/>
        <v>0</v>
      </c>
      <c r="I21" s="356">
        <f t="shared" si="2"/>
        <v>1931.16</v>
      </c>
    </row>
    <row r="22" spans="1:17" ht="14.25" customHeight="1" x14ac:dyDescent="0.2">
      <c r="A22" s="479" t="s">
        <v>697</v>
      </c>
      <c r="B22" s="479"/>
      <c r="C22" s="356">
        <v>0</v>
      </c>
      <c r="D22" s="356">
        <v>13.5345</v>
      </c>
      <c r="E22" s="356">
        <v>10</v>
      </c>
      <c r="F22" s="356">
        <f t="shared" si="0"/>
        <v>0</v>
      </c>
      <c r="G22" s="356">
        <f t="shared" si="1"/>
        <v>135.345</v>
      </c>
      <c r="H22" s="356">
        <f t="shared" si="2"/>
        <v>0</v>
      </c>
      <c r="I22" s="356">
        <f t="shared" si="2"/>
        <v>2066.5050000000001</v>
      </c>
    </row>
    <row r="23" spans="1:17" ht="14.25" customHeight="1" x14ac:dyDescent="0.2">
      <c r="A23" s="479" t="s">
        <v>871</v>
      </c>
      <c r="B23" s="479"/>
      <c r="C23" s="356">
        <v>0</v>
      </c>
      <c r="D23" s="356">
        <v>13.8683</v>
      </c>
      <c r="E23" s="356">
        <v>10</v>
      </c>
      <c r="F23" s="356">
        <f t="shared" si="0"/>
        <v>0</v>
      </c>
      <c r="G23" s="356">
        <f t="shared" si="1"/>
        <v>138.68299999999999</v>
      </c>
      <c r="H23" s="356">
        <f t="shared" si="2"/>
        <v>0</v>
      </c>
      <c r="I23" s="356">
        <f t="shared" si="2"/>
        <v>2205.1880000000001</v>
      </c>
    </row>
    <row r="24" spans="1:17" ht="14.25" customHeight="1" x14ac:dyDescent="0.2">
      <c r="A24" s="479" t="s">
        <v>699</v>
      </c>
      <c r="B24" s="479"/>
      <c r="C24" s="356">
        <v>0</v>
      </c>
      <c r="D24" s="356">
        <v>13.3147</v>
      </c>
      <c r="E24" s="356">
        <v>10</v>
      </c>
      <c r="F24" s="356">
        <f t="shared" si="0"/>
        <v>0</v>
      </c>
      <c r="G24" s="356">
        <f t="shared" si="1"/>
        <v>133.14699999999999</v>
      </c>
      <c r="H24" s="356">
        <f t="shared" si="2"/>
        <v>0</v>
      </c>
      <c r="I24" s="356">
        <f t="shared" si="2"/>
        <v>2338.335</v>
      </c>
    </row>
    <row r="25" spans="1:17" ht="14.25" customHeight="1" x14ac:dyDescent="0.2">
      <c r="A25" s="479" t="s">
        <v>872</v>
      </c>
      <c r="B25" s="479"/>
      <c r="C25" s="356">
        <v>0</v>
      </c>
      <c r="D25" s="356">
        <v>11.674200000000001</v>
      </c>
      <c r="E25" s="356">
        <v>10</v>
      </c>
      <c r="F25" s="356">
        <f t="shared" si="0"/>
        <v>0</v>
      </c>
      <c r="G25" s="356">
        <f t="shared" si="1"/>
        <v>116.742</v>
      </c>
      <c r="H25" s="356">
        <f t="shared" ref="H25:I40" si="3">H24+F25</f>
        <v>0</v>
      </c>
      <c r="I25" s="356">
        <f t="shared" si="3"/>
        <v>2455.0770000000002</v>
      </c>
    </row>
    <row r="26" spans="1:17" ht="14.25" customHeight="1" x14ac:dyDescent="0.2">
      <c r="A26" s="479" t="s">
        <v>701</v>
      </c>
      <c r="B26" s="479"/>
      <c r="C26" s="356">
        <v>0</v>
      </c>
      <c r="D26" s="356">
        <v>10.241</v>
      </c>
      <c r="E26" s="356">
        <v>10</v>
      </c>
      <c r="F26" s="356">
        <f t="shared" si="0"/>
        <v>0</v>
      </c>
      <c r="G26" s="356">
        <f t="shared" si="1"/>
        <v>102.41</v>
      </c>
      <c r="H26" s="356">
        <f t="shared" si="3"/>
        <v>0</v>
      </c>
      <c r="I26" s="356">
        <f t="shared" si="3"/>
        <v>2557.4870000000001</v>
      </c>
      <c r="N26" s="165"/>
      <c r="O26" s="166"/>
      <c r="P26" s="166"/>
      <c r="Q26" s="166"/>
    </row>
    <row r="27" spans="1:17" ht="14.25" customHeight="1" x14ac:dyDescent="0.2">
      <c r="A27" s="479" t="s">
        <v>873</v>
      </c>
      <c r="B27" s="479"/>
      <c r="C27" s="356">
        <v>0</v>
      </c>
      <c r="D27" s="356">
        <v>8.8123000000000005</v>
      </c>
      <c r="E27" s="356">
        <v>10</v>
      </c>
      <c r="F27" s="356">
        <f t="shared" si="0"/>
        <v>0</v>
      </c>
      <c r="G27" s="356">
        <f t="shared" si="1"/>
        <v>88.123000000000005</v>
      </c>
      <c r="H27" s="356">
        <f t="shared" si="3"/>
        <v>0</v>
      </c>
      <c r="I27" s="356">
        <f t="shared" si="3"/>
        <v>2645.61</v>
      </c>
      <c r="N27" s="165"/>
      <c r="O27" s="166"/>
      <c r="P27" s="166"/>
      <c r="Q27" s="166"/>
    </row>
    <row r="28" spans="1:17" ht="14.25" customHeight="1" x14ac:dyDescent="0.2">
      <c r="A28" s="479" t="s">
        <v>703</v>
      </c>
      <c r="B28" s="479"/>
      <c r="C28" s="356">
        <v>0</v>
      </c>
      <c r="D28" s="356">
        <v>7.8331</v>
      </c>
      <c r="E28" s="356">
        <v>10</v>
      </c>
      <c r="F28" s="356">
        <f t="shared" si="0"/>
        <v>0</v>
      </c>
      <c r="G28" s="356">
        <f t="shared" si="1"/>
        <v>78.331000000000003</v>
      </c>
      <c r="H28" s="356">
        <f t="shared" si="3"/>
        <v>0</v>
      </c>
      <c r="I28" s="356">
        <f t="shared" si="3"/>
        <v>2723.9410000000003</v>
      </c>
      <c r="N28" s="165"/>
      <c r="O28" s="166"/>
      <c r="P28" s="166"/>
      <c r="Q28" s="166"/>
    </row>
    <row r="29" spans="1:17" ht="14.25" customHeight="1" x14ac:dyDescent="0.2">
      <c r="A29" s="479" t="s">
        <v>874</v>
      </c>
      <c r="B29" s="479"/>
      <c r="C29" s="356">
        <v>0</v>
      </c>
      <c r="D29" s="356">
        <v>7.0686999999999998</v>
      </c>
      <c r="E29" s="356">
        <v>10</v>
      </c>
      <c r="F29" s="356">
        <f t="shared" si="0"/>
        <v>0</v>
      </c>
      <c r="G29" s="356">
        <f t="shared" si="1"/>
        <v>70.686999999999998</v>
      </c>
      <c r="H29" s="356">
        <f t="shared" si="3"/>
        <v>0</v>
      </c>
      <c r="I29" s="356">
        <f t="shared" si="3"/>
        <v>2794.6280000000002</v>
      </c>
      <c r="N29" s="165"/>
      <c r="O29" s="166"/>
      <c r="P29" s="166"/>
      <c r="Q29" s="166"/>
    </row>
    <row r="30" spans="1:17" ht="14.25" customHeight="1" x14ac:dyDescent="0.2">
      <c r="A30" s="479" t="s">
        <v>705</v>
      </c>
      <c r="B30" s="479"/>
      <c r="C30" s="356">
        <v>0</v>
      </c>
      <c r="D30" s="356">
        <v>5.6627999999999998</v>
      </c>
      <c r="E30" s="356">
        <v>10</v>
      </c>
      <c r="F30" s="356">
        <f t="shared" si="0"/>
        <v>0</v>
      </c>
      <c r="G30" s="356">
        <f t="shared" si="1"/>
        <v>56.628</v>
      </c>
      <c r="H30" s="356">
        <f t="shared" si="3"/>
        <v>0</v>
      </c>
      <c r="I30" s="356">
        <f t="shared" si="3"/>
        <v>2851.2560000000003</v>
      </c>
      <c r="N30" s="165"/>
      <c r="O30" s="166"/>
      <c r="P30" s="166"/>
      <c r="Q30" s="166"/>
    </row>
    <row r="31" spans="1:17" ht="14.25" customHeight="1" x14ac:dyDescent="0.2">
      <c r="A31" s="479" t="s">
        <v>875</v>
      </c>
      <c r="B31" s="479"/>
      <c r="C31" s="356">
        <v>0</v>
      </c>
      <c r="D31" s="356">
        <v>4.4210000000000003</v>
      </c>
      <c r="E31" s="356">
        <v>10</v>
      </c>
      <c r="F31" s="356">
        <f t="shared" si="0"/>
        <v>0</v>
      </c>
      <c r="G31" s="356">
        <f t="shared" si="1"/>
        <v>44.21</v>
      </c>
      <c r="H31" s="356">
        <f t="shared" si="3"/>
        <v>0</v>
      </c>
      <c r="I31" s="356">
        <f t="shared" si="3"/>
        <v>2895.4660000000003</v>
      </c>
      <c r="N31" s="165"/>
      <c r="O31" s="166"/>
      <c r="P31" s="166"/>
      <c r="Q31" s="166"/>
    </row>
    <row r="32" spans="1:17" ht="14.25" customHeight="1" x14ac:dyDescent="0.2">
      <c r="A32" s="479" t="s">
        <v>707</v>
      </c>
      <c r="B32" s="479"/>
      <c r="C32" s="356">
        <v>0</v>
      </c>
      <c r="D32" s="356">
        <v>4.8234000000000004</v>
      </c>
      <c r="E32" s="356">
        <v>10</v>
      </c>
      <c r="F32" s="356">
        <f t="shared" si="0"/>
        <v>0</v>
      </c>
      <c r="G32" s="356">
        <f t="shared" si="1"/>
        <v>48.234000000000002</v>
      </c>
      <c r="H32" s="356">
        <f t="shared" si="3"/>
        <v>0</v>
      </c>
      <c r="I32" s="356">
        <f t="shared" si="3"/>
        <v>2943.7000000000003</v>
      </c>
    </row>
    <row r="33" spans="1:9" ht="14.25" customHeight="1" x14ac:dyDescent="0.2">
      <c r="A33" s="479" t="s">
        <v>876</v>
      </c>
      <c r="B33" s="479"/>
      <c r="C33" s="356">
        <v>0</v>
      </c>
      <c r="D33" s="356">
        <v>5.4358000000000004</v>
      </c>
      <c r="E33" s="356">
        <v>10</v>
      </c>
      <c r="F33" s="356">
        <f t="shared" si="0"/>
        <v>0</v>
      </c>
      <c r="G33" s="356">
        <f t="shared" si="1"/>
        <v>54.358000000000004</v>
      </c>
      <c r="H33" s="356">
        <f t="shared" si="3"/>
        <v>0</v>
      </c>
      <c r="I33" s="356">
        <f t="shared" si="3"/>
        <v>2998.0580000000004</v>
      </c>
    </row>
    <row r="34" spans="1:9" ht="14.25" customHeight="1" x14ac:dyDescent="0.2">
      <c r="A34" s="479" t="s">
        <v>709</v>
      </c>
      <c r="B34" s="479"/>
      <c r="C34" s="356">
        <v>0</v>
      </c>
      <c r="D34" s="356">
        <v>6.6077000000000004</v>
      </c>
      <c r="E34" s="356">
        <v>10</v>
      </c>
      <c r="F34" s="356">
        <f t="shared" si="0"/>
        <v>0</v>
      </c>
      <c r="G34" s="356">
        <f t="shared" si="1"/>
        <v>66.076999999999998</v>
      </c>
      <c r="H34" s="356">
        <f t="shared" si="3"/>
        <v>0</v>
      </c>
      <c r="I34" s="356">
        <f t="shared" si="3"/>
        <v>3064.1350000000002</v>
      </c>
    </row>
    <row r="35" spans="1:9" ht="14.25" customHeight="1" x14ac:dyDescent="0.2">
      <c r="A35" s="479" t="s">
        <v>877</v>
      </c>
      <c r="B35" s="479"/>
      <c r="C35" s="356">
        <v>0</v>
      </c>
      <c r="D35" s="356">
        <v>8.1256000000000004</v>
      </c>
      <c r="E35" s="356">
        <v>10</v>
      </c>
      <c r="F35" s="356">
        <f t="shared" si="0"/>
        <v>0</v>
      </c>
      <c r="G35" s="356">
        <f t="shared" si="1"/>
        <v>81.256</v>
      </c>
      <c r="H35" s="356">
        <f t="shared" si="3"/>
        <v>0</v>
      </c>
      <c r="I35" s="356">
        <f t="shared" si="3"/>
        <v>3145.3910000000001</v>
      </c>
    </row>
    <row r="36" spans="1:9" ht="14.25" customHeight="1" x14ac:dyDescent="0.2">
      <c r="A36" s="479" t="s">
        <v>711</v>
      </c>
      <c r="B36" s="479"/>
      <c r="C36" s="356">
        <v>0</v>
      </c>
      <c r="D36" s="356">
        <v>9.41</v>
      </c>
      <c r="E36" s="356">
        <v>10</v>
      </c>
      <c r="F36" s="356">
        <f t="shared" si="0"/>
        <v>0</v>
      </c>
      <c r="G36" s="356">
        <f t="shared" si="1"/>
        <v>94.1</v>
      </c>
      <c r="H36" s="356">
        <f t="shared" si="3"/>
        <v>0</v>
      </c>
      <c r="I36" s="356">
        <f t="shared" si="3"/>
        <v>3239.491</v>
      </c>
    </row>
    <row r="37" spans="1:9" ht="14.25" customHeight="1" x14ac:dyDescent="0.2">
      <c r="A37" s="479" t="s">
        <v>878</v>
      </c>
      <c r="B37" s="479"/>
      <c r="C37" s="356">
        <v>0</v>
      </c>
      <c r="D37" s="356">
        <v>9.9870000000000001</v>
      </c>
      <c r="E37" s="356">
        <v>10</v>
      </c>
      <c r="F37" s="356">
        <f t="shared" si="0"/>
        <v>0</v>
      </c>
      <c r="G37" s="356">
        <f t="shared" si="1"/>
        <v>99.87</v>
      </c>
      <c r="H37" s="356">
        <f t="shared" si="3"/>
        <v>0</v>
      </c>
      <c r="I37" s="356">
        <f t="shared" si="3"/>
        <v>3339.3609999999999</v>
      </c>
    </row>
    <row r="38" spans="1:9" ht="14.25" customHeight="1" x14ac:dyDescent="0.2">
      <c r="A38" s="479" t="s">
        <v>713</v>
      </c>
      <c r="B38" s="479"/>
      <c r="C38" s="356">
        <v>0</v>
      </c>
      <c r="D38" s="356">
        <v>11.8362</v>
      </c>
      <c r="E38" s="356">
        <v>10</v>
      </c>
      <c r="F38" s="356">
        <f t="shared" si="0"/>
        <v>0</v>
      </c>
      <c r="G38" s="356">
        <f t="shared" si="1"/>
        <v>118.36199999999999</v>
      </c>
      <c r="H38" s="356">
        <f t="shared" si="3"/>
        <v>0</v>
      </c>
      <c r="I38" s="356">
        <f t="shared" si="3"/>
        <v>3457.723</v>
      </c>
    </row>
    <row r="39" spans="1:9" ht="14.25" customHeight="1" x14ac:dyDescent="0.2">
      <c r="A39" s="479" t="s">
        <v>879</v>
      </c>
      <c r="B39" s="479"/>
      <c r="C39" s="356">
        <v>0</v>
      </c>
      <c r="D39" s="356">
        <v>13.709</v>
      </c>
      <c r="E39" s="356">
        <v>10</v>
      </c>
      <c r="F39" s="356">
        <f t="shared" si="0"/>
        <v>0</v>
      </c>
      <c r="G39" s="356">
        <f t="shared" si="1"/>
        <v>137.09</v>
      </c>
      <c r="H39" s="356">
        <f t="shared" si="3"/>
        <v>0</v>
      </c>
      <c r="I39" s="356">
        <f t="shared" si="3"/>
        <v>3594.8130000000001</v>
      </c>
    </row>
    <row r="40" spans="1:9" ht="14.25" customHeight="1" x14ac:dyDescent="0.2">
      <c r="A40" s="479" t="s">
        <v>715</v>
      </c>
      <c r="B40" s="479"/>
      <c r="C40" s="356">
        <v>0</v>
      </c>
      <c r="D40" s="356">
        <v>16.3749</v>
      </c>
      <c r="E40" s="356">
        <v>10</v>
      </c>
      <c r="F40" s="356">
        <f t="shared" si="0"/>
        <v>0</v>
      </c>
      <c r="G40" s="356">
        <f t="shared" si="1"/>
        <v>163.749</v>
      </c>
      <c r="H40" s="356">
        <f t="shared" si="3"/>
        <v>0</v>
      </c>
      <c r="I40" s="356">
        <f t="shared" si="3"/>
        <v>3758.5619999999999</v>
      </c>
    </row>
    <row r="41" spans="1:9" ht="14.25" customHeight="1" x14ac:dyDescent="0.2">
      <c r="A41" s="479" t="s">
        <v>880</v>
      </c>
      <c r="B41" s="479"/>
      <c r="C41" s="356">
        <v>0</v>
      </c>
      <c r="D41" s="356">
        <v>19.5169</v>
      </c>
      <c r="E41" s="356">
        <v>10</v>
      </c>
      <c r="F41" s="356">
        <f t="shared" si="0"/>
        <v>0</v>
      </c>
      <c r="G41" s="356">
        <f t="shared" si="1"/>
        <v>195.16899999999998</v>
      </c>
      <c r="H41" s="356">
        <f t="shared" ref="H41:I56" si="4">H40+F41</f>
        <v>0</v>
      </c>
      <c r="I41" s="356">
        <f t="shared" si="4"/>
        <v>3953.7309999999998</v>
      </c>
    </row>
    <row r="42" spans="1:9" x14ac:dyDescent="0.2">
      <c r="A42" s="479" t="s">
        <v>717</v>
      </c>
      <c r="B42" s="479"/>
      <c r="C42" s="356">
        <v>0</v>
      </c>
      <c r="D42" s="356">
        <v>16.2729</v>
      </c>
      <c r="E42" s="356">
        <v>10</v>
      </c>
      <c r="F42" s="356">
        <f t="shared" si="0"/>
        <v>0</v>
      </c>
      <c r="G42" s="356">
        <f t="shared" si="1"/>
        <v>162.72899999999998</v>
      </c>
      <c r="H42" s="356">
        <f t="shared" si="4"/>
        <v>0</v>
      </c>
      <c r="I42" s="356">
        <f t="shared" si="4"/>
        <v>4116.46</v>
      </c>
    </row>
    <row r="43" spans="1:9" x14ac:dyDescent="0.2">
      <c r="A43" s="479" t="s">
        <v>881</v>
      </c>
      <c r="B43" s="479"/>
      <c r="C43" s="356">
        <v>0</v>
      </c>
      <c r="D43" s="356">
        <v>13.5229</v>
      </c>
      <c r="E43" s="356">
        <v>10</v>
      </c>
      <c r="F43" s="356">
        <f t="shared" si="0"/>
        <v>0</v>
      </c>
      <c r="G43" s="356">
        <f t="shared" si="1"/>
        <v>135.22899999999998</v>
      </c>
      <c r="H43" s="356">
        <f t="shared" si="4"/>
        <v>0</v>
      </c>
      <c r="I43" s="356">
        <f t="shared" si="4"/>
        <v>4251.6890000000003</v>
      </c>
    </row>
    <row r="44" spans="1:9" x14ac:dyDescent="0.2">
      <c r="A44" s="479" t="s">
        <v>719</v>
      </c>
      <c r="B44" s="479"/>
      <c r="C44" s="356">
        <v>0</v>
      </c>
      <c r="D44" s="356">
        <v>11.876300000000001</v>
      </c>
      <c r="E44" s="356">
        <v>10</v>
      </c>
      <c r="F44" s="356">
        <f t="shared" si="0"/>
        <v>0</v>
      </c>
      <c r="G44" s="356">
        <f t="shared" si="1"/>
        <v>118.76300000000001</v>
      </c>
      <c r="H44" s="356">
        <f t="shared" si="4"/>
        <v>0</v>
      </c>
      <c r="I44" s="356">
        <f t="shared" si="4"/>
        <v>4370.4520000000002</v>
      </c>
    </row>
    <row r="45" spans="1:9" x14ac:dyDescent="0.2">
      <c r="A45" s="479" t="s">
        <v>882</v>
      </c>
      <c r="B45" s="479"/>
      <c r="C45" s="356">
        <v>0</v>
      </c>
      <c r="D45" s="356">
        <v>10.212300000000001</v>
      </c>
      <c r="E45" s="356">
        <v>10</v>
      </c>
      <c r="F45" s="356">
        <f t="shared" si="0"/>
        <v>0</v>
      </c>
      <c r="G45" s="356">
        <f t="shared" si="1"/>
        <v>102.123</v>
      </c>
      <c r="H45" s="356">
        <f t="shared" si="4"/>
        <v>0</v>
      </c>
      <c r="I45" s="356">
        <f t="shared" si="4"/>
        <v>4472.5749999999998</v>
      </c>
    </row>
    <row r="46" spans="1:9" x14ac:dyDescent="0.2">
      <c r="A46" s="479" t="s">
        <v>721</v>
      </c>
      <c r="B46" s="479"/>
      <c r="C46" s="356">
        <v>0</v>
      </c>
      <c r="D46" s="356">
        <v>9.7410999999999994</v>
      </c>
      <c r="E46" s="356">
        <v>10</v>
      </c>
      <c r="F46" s="356">
        <f t="shared" si="0"/>
        <v>0</v>
      </c>
      <c r="G46" s="356">
        <f t="shared" si="1"/>
        <v>97.411000000000001</v>
      </c>
      <c r="H46" s="356">
        <f t="shared" si="4"/>
        <v>0</v>
      </c>
      <c r="I46" s="356">
        <f t="shared" si="4"/>
        <v>4569.9859999999999</v>
      </c>
    </row>
    <row r="47" spans="1:9" x14ac:dyDescent="0.2">
      <c r="A47" s="479" t="s">
        <v>883</v>
      </c>
      <c r="B47" s="479"/>
      <c r="C47" s="356">
        <v>0</v>
      </c>
      <c r="D47" s="356">
        <v>9.4303000000000008</v>
      </c>
      <c r="E47" s="356">
        <v>10</v>
      </c>
      <c r="F47" s="356">
        <f t="shared" si="0"/>
        <v>0</v>
      </c>
      <c r="G47" s="356">
        <f t="shared" si="1"/>
        <v>94.303000000000011</v>
      </c>
      <c r="H47" s="356">
        <f t="shared" si="4"/>
        <v>0</v>
      </c>
      <c r="I47" s="356">
        <f t="shared" si="4"/>
        <v>4664.2889999999998</v>
      </c>
    </row>
    <row r="48" spans="1:9" x14ac:dyDescent="0.2">
      <c r="A48" s="479" t="s">
        <v>723</v>
      </c>
      <c r="B48" s="479"/>
      <c r="C48" s="356">
        <v>0</v>
      </c>
      <c r="D48" s="356">
        <v>9.3013999999999992</v>
      </c>
      <c r="E48" s="356">
        <v>10</v>
      </c>
      <c r="F48" s="356">
        <f t="shared" si="0"/>
        <v>0</v>
      </c>
      <c r="G48" s="356">
        <f t="shared" si="1"/>
        <v>93.013999999999996</v>
      </c>
      <c r="H48" s="356">
        <f t="shared" si="4"/>
        <v>0</v>
      </c>
      <c r="I48" s="356">
        <f t="shared" si="4"/>
        <v>4757.3029999999999</v>
      </c>
    </row>
    <row r="49" spans="1:9" x14ac:dyDescent="0.2">
      <c r="A49" s="479" t="s">
        <v>884</v>
      </c>
      <c r="B49" s="479"/>
      <c r="C49" s="356">
        <v>0</v>
      </c>
      <c r="D49" s="356">
        <v>9.3596000000000004</v>
      </c>
      <c r="E49" s="356">
        <v>10</v>
      </c>
      <c r="F49" s="356">
        <f t="shared" si="0"/>
        <v>0</v>
      </c>
      <c r="G49" s="356">
        <f t="shared" si="1"/>
        <v>93.596000000000004</v>
      </c>
      <c r="H49" s="356">
        <f t="shared" si="4"/>
        <v>0</v>
      </c>
      <c r="I49" s="356">
        <f t="shared" si="4"/>
        <v>4850.8989999999994</v>
      </c>
    </row>
    <row r="50" spans="1:9" x14ac:dyDescent="0.2">
      <c r="A50" s="479" t="s">
        <v>725</v>
      </c>
      <c r="B50" s="479"/>
      <c r="C50" s="356">
        <v>0</v>
      </c>
      <c r="D50" s="356">
        <v>9.3949999999999996</v>
      </c>
      <c r="E50" s="356">
        <v>10</v>
      </c>
      <c r="F50" s="356">
        <f t="shared" si="0"/>
        <v>0</v>
      </c>
      <c r="G50" s="356">
        <f t="shared" si="1"/>
        <v>93.949999999999989</v>
      </c>
      <c r="H50" s="356">
        <f t="shared" si="4"/>
        <v>0</v>
      </c>
      <c r="I50" s="356">
        <f t="shared" si="4"/>
        <v>4944.8489999999993</v>
      </c>
    </row>
    <row r="51" spans="1:9" x14ac:dyDescent="0.2">
      <c r="A51" s="479" t="s">
        <v>885</v>
      </c>
      <c r="B51" s="479"/>
      <c r="C51" s="356">
        <v>0</v>
      </c>
      <c r="D51" s="356">
        <v>8.7088999999999999</v>
      </c>
      <c r="E51" s="356">
        <v>10</v>
      </c>
      <c r="F51" s="356">
        <f t="shared" si="0"/>
        <v>0</v>
      </c>
      <c r="G51" s="356">
        <f t="shared" si="1"/>
        <v>87.088999999999999</v>
      </c>
      <c r="H51" s="356">
        <f t="shared" si="4"/>
        <v>0</v>
      </c>
      <c r="I51" s="356">
        <f t="shared" si="4"/>
        <v>5031.9379999999992</v>
      </c>
    </row>
    <row r="52" spans="1:9" x14ac:dyDescent="0.2">
      <c r="A52" s="479" t="s">
        <v>727</v>
      </c>
      <c r="B52" s="479"/>
      <c r="C52" s="356">
        <v>0</v>
      </c>
      <c r="D52" s="356">
        <v>9.2608999999999995</v>
      </c>
      <c r="E52" s="356">
        <v>10</v>
      </c>
      <c r="F52" s="356">
        <f t="shared" si="0"/>
        <v>0</v>
      </c>
      <c r="G52" s="356">
        <f t="shared" si="1"/>
        <v>92.608999999999995</v>
      </c>
      <c r="H52" s="356">
        <f t="shared" si="4"/>
        <v>0</v>
      </c>
      <c r="I52" s="356">
        <f t="shared" si="4"/>
        <v>5124.5469999999996</v>
      </c>
    </row>
    <row r="53" spans="1:9" x14ac:dyDescent="0.2">
      <c r="A53" s="479" t="s">
        <v>886</v>
      </c>
      <c r="B53" s="479"/>
      <c r="C53" s="356">
        <v>0</v>
      </c>
      <c r="D53" s="356">
        <v>11.1386</v>
      </c>
      <c r="E53" s="356">
        <v>10</v>
      </c>
      <c r="F53" s="356">
        <f t="shared" si="0"/>
        <v>0</v>
      </c>
      <c r="G53" s="356">
        <f t="shared" si="1"/>
        <v>111.386</v>
      </c>
      <c r="H53" s="356">
        <f t="shared" si="4"/>
        <v>0</v>
      </c>
      <c r="I53" s="356">
        <f t="shared" si="4"/>
        <v>5235.933</v>
      </c>
    </row>
    <row r="54" spans="1:9" x14ac:dyDescent="0.2">
      <c r="A54" s="479" t="s">
        <v>729</v>
      </c>
      <c r="B54" s="479"/>
      <c r="C54" s="356">
        <v>0</v>
      </c>
      <c r="D54" s="356">
        <v>11.4856</v>
      </c>
      <c r="E54" s="356">
        <v>10</v>
      </c>
      <c r="F54" s="356">
        <f t="shared" si="0"/>
        <v>0</v>
      </c>
      <c r="G54" s="356">
        <f t="shared" si="1"/>
        <v>114.85599999999999</v>
      </c>
      <c r="H54" s="356">
        <f t="shared" si="4"/>
        <v>0</v>
      </c>
      <c r="I54" s="356">
        <f t="shared" si="4"/>
        <v>5350.7889999999998</v>
      </c>
    </row>
    <row r="55" spans="1:9" x14ac:dyDescent="0.2">
      <c r="A55" s="479" t="s">
        <v>887</v>
      </c>
      <c r="B55" s="479"/>
      <c r="C55" s="356">
        <v>0</v>
      </c>
      <c r="D55" s="356">
        <v>10.225199999999999</v>
      </c>
      <c r="E55" s="356">
        <v>10</v>
      </c>
      <c r="F55" s="356">
        <f t="shared" si="0"/>
        <v>0</v>
      </c>
      <c r="G55" s="356">
        <f t="shared" si="1"/>
        <v>102.252</v>
      </c>
      <c r="H55" s="356">
        <f t="shared" si="4"/>
        <v>0</v>
      </c>
      <c r="I55" s="356">
        <f t="shared" si="4"/>
        <v>5453.0410000000002</v>
      </c>
    </row>
    <row r="56" spans="1:9" x14ac:dyDescent="0.2">
      <c r="A56" s="479" t="s">
        <v>731</v>
      </c>
      <c r="B56" s="479"/>
      <c r="C56" s="356">
        <v>0</v>
      </c>
      <c r="D56" s="356">
        <v>11.5578</v>
      </c>
      <c r="E56" s="356">
        <v>10</v>
      </c>
      <c r="F56" s="356">
        <f t="shared" si="0"/>
        <v>0</v>
      </c>
      <c r="G56" s="356">
        <f t="shared" si="1"/>
        <v>115.578</v>
      </c>
      <c r="H56" s="356">
        <f t="shared" si="4"/>
        <v>0</v>
      </c>
      <c r="I56" s="356">
        <f t="shared" si="4"/>
        <v>5568.6190000000006</v>
      </c>
    </row>
    <row r="57" spans="1:9" x14ac:dyDescent="0.2">
      <c r="A57" s="479" t="s">
        <v>888</v>
      </c>
      <c r="B57" s="479"/>
      <c r="C57" s="356">
        <v>0</v>
      </c>
      <c r="D57" s="356">
        <v>14.7241</v>
      </c>
      <c r="E57" s="356">
        <v>10</v>
      </c>
      <c r="F57" s="356">
        <f t="shared" si="0"/>
        <v>0</v>
      </c>
      <c r="G57" s="356">
        <f t="shared" si="1"/>
        <v>147.24099999999999</v>
      </c>
      <c r="H57" s="356">
        <f t="shared" ref="H57:I72" si="5">H56+F57</f>
        <v>0</v>
      </c>
      <c r="I57" s="356">
        <f t="shared" si="5"/>
        <v>5715.8600000000006</v>
      </c>
    </row>
    <row r="58" spans="1:9" x14ac:dyDescent="0.2">
      <c r="A58" s="479" t="s">
        <v>733</v>
      </c>
      <c r="B58" s="479"/>
      <c r="C58" s="356">
        <v>0</v>
      </c>
      <c r="D58" s="356">
        <v>16.625900000000001</v>
      </c>
      <c r="E58" s="356">
        <v>10</v>
      </c>
      <c r="F58" s="356">
        <f t="shared" si="0"/>
        <v>0</v>
      </c>
      <c r="G58" s="356">
        <f t="shared" si="1"/>
        <v>166.25900000000001</v>
      </c>
      <c r="H58" s="356">
        <f t="shared" si="5"/>
        <v>0</v>
      </c>
      <c r="I58" s="356">
        <f t="shared" si="5"/>
        <v>5882.1190000000006</v>
      </c>
    </row>
    <row r="59" spans="1:9" x14ac:dyDescent="0.2">
      <c r="A59" s="479" t="s">
        <v>889</v>
      </c>
      <c r="B59" s="479"/>
      <c r="C59" s="356">
        <v>0</v>
      </c>
      <c r="D59" s="356">
        <v>17.305399999999999</v>
      </c>
      <c r="E59" s="356">
        <v>10</v>
      </c>
      <c r="F59" s="356">
        <f t="shared" si="0"/>
        <v>0</v>
      </c>
      <c r="G59" s="356">
        <f t="shared" si="1"/>
        <v>173.05399999999997</v>
      </c>
      <c r="H59" s="356">
        <f t="shared" si="5"/>
        <v>0</v>
      </c>
      <c r="I59" s="356">
        <f t="shared" si="5"/>
        <v>6055.1730000000007</v>
      </c>
    </row>
    <row r="60" spans="1:9" x14ac:dyDescent="0.2">
      <c r="A60" s="479" t="s">
        <v>735</v>
      </c>
      <c r="B60" s="479"/>
      <c r="C60" s="356">
        <v>0</v>
      </c>
      <c r="D60" s="356">
        <v>17.236799999999999</v>
      </c>
      <c r="E60" s="356">
        <v>10</v>
      </c>
      <c r="F60" s="356">
        <f t="shared" si="0"/>
        <v>0</v>
      </c>
      <c r="G60" s="356">
        <f t="shared" si="1"/>
        <v>172.36799999999999</v>
      </c>
      <c r="H60" s="356">
        <f t="shared" si="5"/>
        <v>0</v>
      </c>
      <c r="I60" s="356">
        <f t="shared" si="5"/>
        <v>6227.5410000000011</v>
      </c>
    </row>
    <row r="61" spans="1:9" x14ac:dyDescent="0.2">
      <c r="A61" s="479" t="s">
        <v>890</v>
      </c>
      <c r="B61" s="479"/>
      <c r="C61" s="356">
        <v>0</v>
      </c>
      <c r="D61" s="356">
        <v>17.331800000000001</v>
      </c>
      <c r="E61" s="356">
        <v>10</v>
      </c>
      <c r="F61" s="356">
        <f t="shared" si="0"/>
        <v>0</v>
      </c>
      <c r="G61" s="356">
        <f t="shared" si="1"/>
        <v>173.31800000000001</v>
      </c>
      <c r="H61" s="356">
        <f t="shared" si="5"/>
        <v>0</v>
      </c>
      <c r="I61" s="356">
        <f t="shared" si="5"/>
        <v>6400.8590000000013</v>
      </c>
    </row>
    <row r="62" spans="1:9" x14ac:dyDescent="0.2">
      <c r="A62" s="479" t="s">
        <v>737</v>
      </c>
      <c r="B62" s="479"/>
      <c r="C62" s="356">
        <v>0</v>
      </c>
      <c r="D62" s="356">
        <v>17.1372</v>
      </c>
      <c r="E62" s="356">
        <v>10</v>
      </c>
      <c r="F62" s="356">
        <f t="shared" si="0"/>
        <v>0</v>
      </c>
      <c r="G62" s="356">
        <f t="shared" si="1"/>
        <v>171.37200000000001</v>
      </c>
      <c r="H62" s="356">
        <f t="shared" si="5"/>
        <v>0</v>
      </c>
      <c r="I62" s="356">
        <f t="shared" si="5"/>
        <v>6572.2310000000016</v>
      </c>
    </row>
    <row r="63" spans="1:9" x14ac:dyDescent="0.2">
      <c r="A63" s="479" t="s">
        <v>891</v>
      </c>
      <c r="B63" s="479"/>
      <c r="C63" s="356">
        <v>0</v>
      </c>
      <c r="D63" s="356">
        <v>14.3406</v>
      </c>
      <c r="E63" s="356">
        <v>10</v>
      </c>
      <c r="F63" s="356">
        <f t="shared" si="0"/>
        <v>0</v>
      </c>
      <c r="G63" s="356">
        <f t="shared" si="1"/>
        <v>143.40600000000001</v>
      </c>
      <c r="H63" s="356">
        <f t="shared" si="5"/>
        <v>0</v>
      </c>
      <c r="I63" s="356">
        <f t="shared" si="5"/>
        <v>6715.6370000000015</v>
      </c>
    </row>
    <row r="64" spans="1:9" x14ac:dyDescent="0.2">
      <c r="A64" s="479" t="s">
        <v>739</v>
      </c>
      <c r="B64" s="479"/>
      <c r="C64" s="356">
        <v>0</v>
      </c>
      <c r="D64" s="356">
        <v>11.321</v>
      </c>
      <c r="E64" s="356">
        <v>10</v>
      </c>
      <c r="F64" s="356">
        <f t="shared" si="0"/>
        <v>0</v>
      </c>
      <c r="G64" s="356">
        <f t="shared" si="1"/>
        <v>113.21</v>
      </c>
      <c r="H64" s="356">
        <f t="shared" si="5"/>
        <v>0</v>
      </c>
      <c r="I64" s="356">
        <f t="shared" si="5"/>
        <v>6828.8470000000016</v>
      </c>
    </row>
    <row r="65" spans="1:9" x14ac:dyDescent="0.2">
      <c r="A65" s="479" t="s">
        <v>892</v>
      </c>
      <c r="B65" s="479"/>
      <c r="C65" s="356">
        <v>0</v>
      </c>
      <c r="D65" s="356">
        <v>9.9786999999999999</v>
      </c>
      <c r="E65" s="356">
        <v>10</v>
      </c>
      <c r="F65" s="356">
        <f t="shared" si="0"/>
        <v>0</v>
      </c>
      <c r="G65" s="356">
        <f t="shared" si="1"/>
        <v>99.787000000000006</v>
      </c>
      <c r="H65" s="356">
        <f t="shared" si="5"/>
        <v>0</v>
      </c>
      <c r="I65" s="356">
        <f t="shared" si="5"/>
        <v>6928.6340000000018</v>
      </c>
    </row>
    <row r="66" spans="1:9" x14ac:dyDescent="0.2">
      <c r="A66" s="479" t="s">
        <v>741</v>
      </c>
      <c r="B66" s="479"/>
      <c r="C66" s="356">
        <v>0</v>
      </c>
      <c r="D66" s="356">
        <v>8.8472000000000008</v>
      </c>
      <c r="E66" s="356">
        <v>10</v>
      </c>
      <c r="F66" s="356">
        <f t="shared" si="0"/>
        <v>0</v>
      </c>
      <c r="G66" s="356">
        <f t="shared" si="1"/>
        <v>88.472000000000008</v>
      </c>
      <c r="H66" s="356">
        <f t="shared" si="5"/>
        <v>0</v>
      </c>
      <c r="I66" s="356">
        <f t="shared" si="5"/>
        <v>7017.1060000000016</v>
      </c>
    </row>
    <row r="67" spans="1:9" x14ac:dyDescent="0.2">
      <c r="A67" s="479" t="s">
        <v>893</v>
      </c>
      <c r="B67" s="479"/>
      <c r="C67" s="356">
        <v>0</v>
      </c>
      <c r="D67" s="356">
        <v>8.1324000000000005</v>
      </c>
      <c r="E67" s="356">
        <v>10</v>
      </c>
      <c r="F67" s="356">
        <f t="shared" si="0"/>
        <v>0</v>
      </c>
      <c r="G67" s="356">
        <f t="shared" si="1"/>
        <v>81.324000000000012</v>
      </c>
      <c r="H67" s="356">
        <f t="shared" si="5"/>
        <v>0</v>
      </c>
      <c r="I67" s="356">
        <f t="shared" si="5"/>
        <v>7098.4300000000012</v>
      </c>
    </row>
    <row r="68" spans="1:9" x14ac:dyDescent="0.2">
      <c r="A68" s="479" t="s">
        <v>743</v>
      </c>
      <c r="B68" s="479"/>
      <c r="C68" s="356">
        <v>0</v>
      </c>
      <c r="D68" s="356">
        <v>6.4188999999999998</v>
      </c>
      <c r="E68" s="356">
        <v>10</v>
      </c>
      <c r="F68" s="356">
        <f t="shared" si="0"/>
        <v>0</v>
      </c>
      <c r="G68" s="356">
        <f t="shared" si="1"/>
        <v>64.188999999999993</v>
      </c>
      <c r="H68" s="356">
        <f t="shared" si="5"/>
        <v>0</v>
      </c>
      <c r="I68" s="356">
        <f t="shared" si="5"/>
        <v>7162.6190000000015</v>
      </c>
    </row>
    <row r="69" spans="1:9" x14ac:dyDescent="0.2">
      <c r="A69" s="479" t="s">
        <v>894</v>
      </c>
      <c r="B69" s="479"/>
      <c r="C69" s="356">
        <v>0.1011</v>
      </c>
      <c r="D69" s="356">
        <v>4.2606000000000002</v>
      </c>
      <c r="E69" s="356">
        <v>10</v>
      </c>
      <c r="F69" s="356">
        <f t="shared" si="0"/>
        <v>1.0109999999999999</v>
      </c>
      <c r="G69" s="356">
        <f t="shared" si="1"/>
        <v>42.606000000000002</v>
      </c>
      <c r="H69" s="356">
        <f t="shared" si="5"/>
        <v>1.0109999999999999</v>
      </c>
      <c r="I69" s="356">
        <f t="shared" si="5"/>
        <v>7205.2250000000013</v>
      </c>
    </row>
    <row r="70" spans="1:9" x14ac:dyDescent="0.2">
      <c r="A70" s="479" t="s">
        <v>745</v>
      </c>
      <c r="B70" s="479"/>
      <c r="C70" s="356">
        <v>0.28889999999999999</v>
      </c>
      <c r="D70" s="356">
        <v>1.3126</v>
      </c>
      <c r="E70" s="356">
        <v>10</v>
      </c>
      <c r="F70" s="356">
        <f t="shared" si="0"/>
        <v>2.8889999999999998</v>
      </c>
      <c r="G70" s="356">
        <f t="shared" si="1"/>
        <v>13.125999999999999</v>
      </c>
      <c r="H70" s="356">
        <f t="shared" si="5"/>
        <v>3.8999999999999995</v>
      </c>
      <c r="I70" s="356">
        <f t="shared" si="5"/>
        <v>7218.3510000000015</v>
      </c>
    </row>
    <row r="71" spans="1:9" x14ac:dyDescent="0.2">
      <c r="A71" s="479" t="s">
        <v>895</v>
      </c>
      <c r="B71" s="479"/>
      <c r="C71" s="356">
        <v>1.2785</v>
      </c>
      <c r="D71" s="356">
        <v>3.4799999999999998E-2</v>
      </c>
      <c r="E71" s="356">
        <v>10</v>
      </c>
      <c r="F71" s="356">
        <f t="shared" si="0"/>
        <v>12.785</v>
      </c>
      <c r="G71" s="356">
        <f t="shared" si="1"/>
        <v>0.34799999999999998</v>
      </c>
      <c r="H71" s="356">
        <f t="shared" si="5"/>
        <v>16.684999999999999</v>
      </c>
      <c r="I71" s="356">
        <f t="shared" si="5"/>
        <v>7218.6990000000014</v>
      </c>
    </row>
    <row r="72" spans="1:9" x14ac:dyDescent="0.2">
      <c r="A72" s="479" t="s">
        <v>896</v>
      </c>
      <c r="B72" s="479"/>
      <c r="C72" s="356">
        <v>1.6214999999999999</v>
      </c>
      <c r="D72" s="356">
        <v>0</v>
      </c>
      <c r="E72" s="356">
        <v>10</v>
      </c>
      <c r="F72" s="356">
        <f t="shared" si="0"/>
        <v>16.215</v>
      </c>
      <c r="G72" s="356">
        <f t="shared" si="1"/>
        <v>0</v>
      </c>
      <c r="H72" s="356">
        <f t="shared" si="5"/>
        <v>32.9</v>
      </c>
      <c r="I72" s="356">
        <f t="shared" si="5"/>
        <v>7218.6990000000014</v>
      </c>
    </row>
    <row r="73" spans="1:9" x14ac:dyDescent="0.2">
      <c r="A73" s="479" t="s">
        <v>897</v>
      </c>
      <c r="B73" s="479"/>
      <c r="C73" s="356">
        <v>1.7357</v>
      </c>
      <c r="D73" s="356">
        <v>7.8600000000000003E-2</v>
      </c>
      <c r="E73" s="356">
        <v>10</v>
      </c>
      <c r="F73" s="356">
        <f t="shared" si="0"/>
        <v>17.356999999999999</v>
      </c>
      <c r="G73" s="356">
        <f t="shared" si="1"/>
        <v>0.78600000000000003</v>
      </c>
      <c r="H73" s="356">
        <f t="shared" ref="H73:I88" si="6">H72+F73</f>
        <v>50.256999999999998</v>
      </c>
      <c r="I73" s="356">
        <f t="shared" si="6"/>
        <v>7219.4850000000015</v>
      </c>
    </row>
    <row r="74" spans="1:9" x14ac:dyDescent="0.2">
      <c r="A74" s="479" t="s">
        <v>898</v>
      </c>
      <c r="B74" s="479"/>
      <c r="C74" s="356">
        <v>1.9085000000000001</v>
      </c>
      <c r="D74" s="356">
        <v>0.2142</v>
      </c>
      <c r="E74" s="356">
        <v>10</v>
      </c>
      <c r="F74" s="356">
        <f t="shared" si="0"/>
        <v>19.085000000000001</v>
      </c>
      <c r="G74" s="356">
        <f t="shared" si="1"/>
        <v>2.1419999999999999</v>
      </c>
      <c r="H74" s="356">
        <f t="shared" si="6"/>
        <v>69.341999999999999</v>
      </c>
      <c r="I74" s="356">
        <f t="shared" si="6"/>
        <v>7221.6270000000013</v>
      </c>
    </row>
    <row r="75" spans="1:9" x14ac:dyDescent="0.2">
      <c r="A75" s="479" t="s">
        <v>899</v>
      </c>
      <c r="B75" s="479"/>
      <c r="C75" s="356">
        <v>1.9742999999999999</v>
      </c>
      <c r="D75" s="356">
        <v>0.154</v>
      </c>
      <c r="E75" s="356">
        <v>10</v>
      </c>
      <c r="F75" s="356">
        <f t="shared" si="0"/>
        <v>19.742999999999999</v>
      </c>
      <c r="G75" s="356">
        <f t="shared" si="1"/>
        <v>1.54</v>
      </c>
      <c r="H75" s="356">
        <f t="shared" si="6"/>
        <v>89.084999999999994</v>
      </c>
      <c r="I75" s="356">
        <f t="shared" si="6"/>
        <v>7223.1670000000013</v>
      </c>
    </row>
    <row r="76" spans="1:9" x14ac:dyDescent="0.2">
      <c r="A76" s="479" t="s">
        <v>900</v>
      </c>
      <c r="B76" s="479"/>
      <c r="C76" s="356">
        <v>2.4129999999999998</v>
      </c>
      <c r="D76" s="356">
        <v>3.2500000000000001E-2</v>
      </c>
      <c r="E76" s="356">
        <v>10</v>
      </c>
      <c r="F76" s="356">
        <f t="shared" si="0"/>
        <v>24.13</v>
      </c>
      <c r="G76" s="356">
        <f t="shared" si="1"/>
        <v>0.32500000000000001</v>
      </c>
      <c r="H76" s="356">
        <f t="shared" si="6"/>
        <v>113.21499999999999</v>
      </c>
      <c r="I76" s="356">
        <f t="shared" si="6"/>
        <v>7223.4920000000011</v>
      </c>
    </row>
    <row r="77" spans="1:9" x14ac:dyDescent="0.2">
      <c r="A77" s="479" t="s">
        <v>901</v>
      </c>
      <c r="B77" s="479"/>
      <c r="C77" s="356">
        <v>2.9571000000000001</v>
      </c>
      <c r="D77" s="356">
        <v>0</v>
      </c>
      <c r="E77" s="356">
        <v>10</v>
      </c>
      <c r="F77" s="356">
        <f t="shared" si="0"/>
        <v>29.571000000000002</v>
      </c>
      <c r="G77" s="356">
        <f t="shared" si="1"/>
        <v>0</v>
      </c>
      <c r="H77" s="356">
        <f t="shared" si="6"/>
        <v>142.786</v>
      </c>
      <c r="I77" s="356">
        <f t="shared" si="6"/>
        <v>7223.4920000000011</v>
      </c>
    </row>
    <row r="78" spans="1:9" x14ac:dyDescent="0.2">
      <c r="A78" s="479" t="s">
        <v>902</v>
      </c>
      <c r="B78" s="479"/>
      <c r="C78" s="356">
        <v>2.3948</v>
      </c>
      <c r="D78" s="356">
        <v>0</v>
      </c>
      <c r="E78" s="356">
        <v>10</v>
      </c>
      <c r="F78" s="356">
        <f t="shared" si="0"/>
        <v>23.948</v>
      </c>
      <c r="G78" s="356">
        <f t="shared" si="1"/>
        <v>0</v>
      </c>
      <c r="H78" s="356">
        <f t="shared" si="6"/>
        <v>166.73400000000001</v>
      </c>
      <c r="I78" s="356">
        <f t="shared" si="6"/>
        <v>7223.4920000000011</v>
      </c>
    </row>
    <row r="79" spans="1:9" x14ac:dyDescent="0.2">
      <c r="A79" s="479" t="s">
        <v>903</v>
      </c>
      <c r="B79" s="479"/>
      <c r="C79" s="356">
        <v>1.8419000000000001</v>
      </c>
      <c r="D79" s="356">
        <v>5.2999999999999999E-2</v>
      </c>
      <c r="E79" s="356">
        <v>10</v>
      </c>
      <c r="F79" s="356">
        <f t="shared" si="0"/>
        <v>18.419</v>
      </c>
      <c r="G79" s="356">
        <f t="shared" si="1"/>
        <v>0.53</v>
      </c>
      <c r="H79" s="356">
        <f t="shared" si="6"/>
        <v>185.15300000000002</v>
      </c>
      <c r="I79" s="356">
        <f t="shared" si="6"/>
        <v>7224.0220000000008</v>
      </c>
    </row>
    <row r="80" spans="1:9" x14ac:dyDescent="0.2">
      <c r="A80" s="479" t="s">
        <v>904</v>
      </c>
      <c r="B80" s="479"/>
      <c r="C80" s="356">
        <v>2.1850999999999998</v>
      </c>
      <c r="D80" s="356">
        <v>3.8600000000000002E-2</v>
      </c>
      <c r="E80" s="356">
        <v>10</v>
      </c>
      <c r="F80" s="356">
        <f t="shared" si="0"/>
        <v>21.850999999999999</v>
      </c>
      <c r="G80" s="356">
        <f t="shared" si="1"/>
        <v>0.38600000000000001</v>
      </c>
      <c r="H80" s="356">
        <f t="shared" si="6"/>
        <v>207.00400000000002</v>
      </c>
      <c r="I80" s="356">
        <f t="shared" si="6"/>
        <v>7224.4080000000013</v>
      </c>
    </row>
    <row r="81" spans="1:9" x14ac:dyDescent="0.2">
      <c r="A81" s="479" t="s">
        <v>905</v>
      </c>
      <c r="B81" s="479"/>
      <c r="C81" s="356">
        <v>2.5703</v>
      </c>
      <c r="D81" s="356">
        <v>0.122</v>
      </c>
      <c r="E81" s="356">
        <v>10</v>
      </c>
      <c r="F81" s="356">
        <f t="shared" si="0"/>
        <v>25.702999999999999</v>
      </c>
      <c r="G81" s="356">
        <f t="shared" si="1"/>
        <v>1.22</v>
      </c>
      <c r="H81" s="356">
        <f t="shared" si="6"/>
        <v>232.70700000000002</v>
      </c>
      <c r="I81" s="356">
        <f t="shared" si="6"/>
        <v>7225.6280000000015</v>
      </c>
    </row>
    <row r="82" spans="1:9" x14ac:dyDescent="0.2">
      <c r="A82" s="479" t="s">
        <v>906</v>
      </c>
      <c r="B82" s="479"/>
      <c r="C82" s="356">
        <v>5.1200999999999999</v>
      </c>
      <c r="D82" s="356">
        <v>0</v>
      </c>
      <c r="E82" s="356">
        <v>10</v>
      </c>
      <c r="F82" s="356">
        <f t="shared" si="0"/>
        <v>51.201000000000001</v>
      </c>
      <c r="G82" s="356">
        <f t="shared" si="1"/>
        <v>0</v>
      </c>
      <c r="H82" s="356">
        <f t="shared" si="6"/>
        <v>283.90800000000002</v>
      </c>
      <c r="I82" s="356">
        <f t="shared" si="6"/>
        <v>7225.6280000000015</v>
      </c>
    </row>
    <row r="83" spans="1:9" x14ac:dyDescent="0.2">
      <c r="A83" s="479" t="s">
        <v>907</v>
      </c>
      <c r="B83" s="479"/>
      <c r="C83" s="356">
        <v>8.4588999999999999</v>
      </c>
      <c r="D83" s="356">
        <v>0</v>
      </c>
      <c r="E83" s="356">
        <v>10</v>
      </c>
      <c r="F83" s="356">
        <f t="shared" si="0"/>
        <v>84.588999999999999</v>
      </c>
      <c r="G83" s="356">
        <f t="shared" si="1"/>
        <v>0</v>
      </c>
      <c r="H83" s="356">
        <f t="shared" si="6"/>
        <v>368.49700000000001</v>
      </c>
      <c r="I83" s="356">
        <f t="shared" si="6"/>
        <v>7225.6280000000015</v>
      </c>
    </row>
    <row r="84" spans="1:9" x14ac:dyDescent="0.2">
      <c r="A84" s="479" t="s">
        <v>908</v>
      </c>
      <c r="B84" s="479"/>
      <c r="C84" s="356">
        <v>13.303699999999999</v>
      </c>
      <c r="D84" s="356">
        <v>0</v>
      </c>
      <c r="E84" s="356">
        <v>10</v>
      </c>
      <c r="F84" s="356">
        <f t="shared" si="0"/>
        <v>133.03699999999998</v>
      </c>
      <c r="G84" s="356">
        <f t="shared" si="1"/>
        <v>0</v>
      </c>
      <c r="H84" s="356">
        <f t="shared" si="6"/>
        <v>501.53399999999999</v>
      </c>
      <c r="I84" s="356">
        <f t="shared" si="6"/>
        <v>7225.6280000000015</v>
      </c>
    </row>
    <row r="85" spans="1:9" x14ac:dyDescent="0.2">
      <c r="A85" s="479" t="s">
        <v>909</v>
      </c>
      <c r="B85" s="479"/>
      <c r="C85" s="356">
        <v>17.568100000000001</v>
      </c>
      <c r="D85" s="356">
        <v>0</v>
      </c>
      <c r="E85" s="356">
        <v>10</v>
      </c>
      <c r="F85" s="356">
        <f t="shared" si="0"/>
        <v>175.68100000000001</v>
      </c>
      <c r="G85" s="356">
        <f t="shared" si="1"/>
        <v>0</v>
      </c>
      <c r="H85" s="356">
        <f t="shared" si="6"/>
        <v>677.21500000000003</v>
      </c>
      <c r="I85" s="356">
        <f t="shared" si="6"/>
        <v>7225.6280000000015</v>
      </c>
    </row>
    <row r="86" spans="1:9" x14ac:dyDescent="0.2">
      <c r="A86" s="479" t="s">
        <v>910</v>
      </c>
      <c r="B86" s="479"/>
      <c r="C86" s="356">
        <v>24.935300000000002</v>
      </c>
      <c r="D86" s="356">
        <v>0</v>
      </c>
      <c r="E86" s="356">
        <v>10</v>
      </c>
      <c r="F86" s="356">
        <f t="shared" si="0"/>
        <v>249.35300000000001</v>
      </c>
      <c r="G86" s="356">
        <f t="shared" si="1"/>
        <v>0</v>
      </c>
      <c r="H86" s="356">
        <f t="shared" si="6"/>
        <v>926.56799999999998</v>
      </c>
      <c r="I86" s="356">
        <f t="shared" si="6"/>
        <v>7225.6280000000015</v>
      </c>
    </row>
    <row r="87" spans="1:9" x14ac:dyDescent="0.2">
      <c r="A87" s="479" t="s">
        <v>911</v>
      </c>
      <c r="B87" s="479"/>
      <c r="C87" s="356">
        <v>28.0273</v>
      </c>
      <c r="D87" s="356">
        <v>0</v>
      </c>
      <c r="E87" s="356">
        <v>10</v>
      </c>
      <c r="F87" s="356">
        <f t="shared" si="0"/>
        <v>280.27300000000002</v>
      </c>
      <c r="G87" s="356">
        <f t="shared" si="1"/>
        <v>0</v>
      </c>
      <c r="H87" s="356">
        <f t="shared" si="6"/>
        <v>1206.8409999999999</v>
      </c>
      <c r="I87" s="356">
        <f t="shared" si="6"/>
        <v>7225.6280000000015</v>
      </c>
    </row>
    <row r="88" spans="1:9" x14ac:dyDescent="0.2">
      <c r="A88" s="479" t="s">
        <v>912</v>
      </c>
      <c r="B88" s="479"/>
      <c r="C88" s="356">
        <v>30.749700000000001</v>
      </c>
      <c r="D88" s="356">
        <v>0</v>
      </c>
      <c r="E88" s="356">
        <v>10</v>
      </c>
      <c r="F88" s="356">
        <f t="shared" si="0"/>
        <v>307.49700000000001</v>
      </c>
      <c r="G88" s="356">
        <f t="shared" si="1"/>
        <v>0</v>
      </c>
      <c r="H88" s="356">
        <f t="shared" si="6"/>
        <v>1514.338</v>
      </c>
      <c r="I88" s="356">
        <f t="shared" si="6"/>
        <v>7225.6280000000015</v>
      </c>
    </row>
    <row r="89" spans="1:9" x14ac:dyDescent="0.2">
      <c r="A89" s="479" t="s">
        <v>913</v>
      </c>
      <c r="B89" s="479"/>
      <c r="C89" s="356">
        <v>28.648199999999999</v>
      </c>
      <c r="D89" s="356">
        <v>0</v>
      </c>
      <c r="E89" s="356">
        <v>10</v>
      </c>
      <c r="F89" s="356">
        <f t="shared" si="0"/>
        <v>286.48199999999997</v>
      </c>
      <c r="G89" s="356">
        <f t="shared" si="1"/>
        <v>0</v>
      </c>
      <c r="H89" s="356">
        <f t="shared" ref="H89:I89" si="7">H88+F89</f>
        <v>1800.82</v>
      </c>
      <c r="I89" s="356">
        <f t="shared" si="7"/>
        <v>7225.6280000000015</v>
      </c>
    </row>
    <row r="90" spans="1:9" x14ac:dyDescent="0.2">
      <c r="F90" s="495" t="s">
        <v>914</v>
      </c>
      <c r="G90" s="496"/>
      <c r="H90" s="287">
        <f>H89</f>
        <v>1800.82</v>
      </c>
      <c r="I90" s="288" t="s">
        <v>915</v>
      </c>
    </row>
    <row r="91" spans="1:9" x14ac:dyDescent="0.2">
      <c r="F91" s="495" t="s">
        <v>916</v>
      </c>
      <c r="G91" s="496"/>
      <c r="H91" s="497"/>
      <c r="I91" s="288">
        <f>I89</f>
        <v>7225.6280000000015</v>
      </c>
    </row>
    <row r="95" spans="1:9" x14ac:dyDescent="0.2">
      <c r="H95" s="34"/>
    </row>
  </sheetData>
  <mergeCells count="102">
    <mergeCell ref="A1:C1"/>
    <mergeCell ref="D1:G1"/>
    <mergeCell ref="H1:I1"/>
    <mergeCell ref="A2:B2"/>
    <mergeCell ref="C2:E2"/>
    <mergeCell ref="F2:I2"/>
    <mergeCell ref="A5:B6"/>
    <mergeCell ref="C5:D5"/>
    <mergeCell ref="E5:E6"/>
    <mergeCell ref="F5:G5"/>
    <mergeCell ref="H5:I5"/>
    <mergeCell ref="A7:B7"/>
    <mergeCell ref="A3:B3"/>
    <mergeCell ref="C3:E3"/>
    <mergeCell ref="G3:I3"/>
    <mergeCell ref="A4:B4"/>
    <mergeCell ref="C4:E4"/>
    <mergeCell ref="G4:I4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86:B86"/>
    <mergeCell ref="A87:B87"/>
    <mergeCell ref="A88:B88"/>
    <mergeCell ref="A89:B89"/>
    <mergeCell ref="F90:G90"/>
    <mergeCell ref="F91:H91"/>
    <mergeCell ref="A80:B80"/>
    <mergeCell ref="A81:B81"/>
    <mergeCell ref="A82:B82"/>
    <mergeCell ref="A83:B83"/>
    <mergeCell ref="A84:B84"/>
    <mergeCell ref="A85:B85"/>
  </mergeCells>
  <pageMargins left="0.7" right="0.7" top="0.75" bottom="0.75" header="0.3" footer="0.3"/>
  <pageSetup paperSize="9" scale="79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5436B-E5E3-49B1-B0BF-2B49B1522E0A}">
  <sheetPr>
    <pageSetUpPr fitToPage="1"/>
  </sheetPr>
  <dimension ref="A1:I43"/>
  <sheetViews>
    <sheetView view="pageBreakPreview" zoomScale="60" zoomScaleNormal="100" workbookViewId="0">
      <selection activeCell="A24" sqref="A24:B24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2" customWidth="1"/>
    <col min="6" max="6" width="15.1640625" customWidth="1"/>
    <col min="7" max="7" width="14.5" customWidth="1"/>
    <col min="8" max="9" width="15.1640625" customWidth="1"/>
  </cols>
  <sheetData>
    <row r="1" spans="1:9" ht="58.9" customHeight="1" x14ac:dyDescent="0.2">
      <c r="A1" s="503"/>
      <c r="B1" s="504"/>
      <c r="C1" s="505"/>
      <c r="D1" s="506" t="s">
        <v>917</v>
      </c>
      <c r="E1" s="504"/>
      <c r="F1" s="507"/>
      <c r="G1" s="508"/>
      <c r="H1" s="509"/>
      <c r="I1" s="508"/>
    </row>
    <row r="2" spans="1:9" ht="19.149999999999999" customHeight="1" x14ac:dyDescent="0.2">
      <c r="A2" s="465" t="s">
        <v>853</v>
      </c>
      <c r="B2" s="465"/>
      <c r="C2" s="498" t="s">
        <v>854</v>
      </c>
      <c r="D2" s="498"/>
      <c r="E2" s="498"/>
      <c r="F2" s="510"/>
      <c r="G2" s="504"/>
      <c r="H2" s="504"/>
      <c r="I2" s="505"/>
    </row>
    <row r="3" spans="1:9" ht="18" customHeight="1" x14ac:dyDescent="0.2">
      <c r="A3" s="465" t="s">
        <v>855</v>
      </c>
      <c r="B3" s="465"/>
      <c r="C3" s="498" t="s">
        <v>856</v>
      </c>
      <c r="D3" s="498"/>
      <c r="E3" s="498"/>
      <c r="F3" s="285" t="s">
        <v>857</v>
      </c>
      <c r="G3" s="499" t="s">
        <v>858</v>
      </c>
      <c r="H3" s="499"/>
      <c r="I3" s="499"/>
    </row>
    <row r="4" spans="1:9" ht="19.149999999999999" customHeight="1" x14ac:dyDescent="0.2">
      <c r="A4" s="465" t="s">
        <v>859</v>
      </c>
      <c r="B4" s="465"/>
      <c r="C4" s="498" t="s">
        <v>860</v>
      </c>
      <c r="D4" s="498"/>
      <c r="E4" s="498"/>
      <c r="F4" s="286" t="s">
        <v>861</v>
      </c>
      <c r="G4" s="500" t="s">
        <v>862</v>
      </c>
      <c r="H4" s="501"/>
      <c r="I4" s="502"/>
    </row>
    <row r="5" spans="1:9" ht="16.5" customHeight="1" x14ac:dyDescent="0.2">
      <c r="A5" s="465" t="s">
        <v>661</v>
      </c>
      <c r="B5" s="465"/>
      <c r="C5" s="466" t="s">
        <v>662</v>
      </c>
      <c r="D5" s="466"/>
      <c r="E5" s="465" t="s">
        <v>663</v>
      </c>
      <c r="F5" s="511" t="s">
        <v>665</v>
      </c>
      <c r="G5" s="512"/>
      <c r="H5" s="513" t="s">
        <v>666</v>
      </c>
      <c r="I5" s="514"/>
    </row>
    <row r="6" spans="1:9" ht="14.25" customHeight="1" x14ac:dyDescent="0.2">
      <c r="A6" s="465"/>
      <c r="B6" s="465"/>
      <c r="C6" s="354" t="s">
        <v>667</v>
      </c>
      <c r="D6" s="354" t="s">
        <v>668</v>
      </c>
      <c r="E6" s="465"/>
      <c r="F6" s="354" t="s">
        <v>667</v>
      </c>
      <c r="G6" s="354" t="s">
        <v>668</v>
      </c>
      <c r="H6" s="354" t="s">
        <v>667</v>
      </c>
      <c r="I6" s="354" t="s">
        <v>668</v>
      </c>
    </row>
    <row r="7" spans="1:9" x14ac:dyDescent="0.2">
      <c r="A7" s="479" t="s">
        <v>918</v>
      </c>
      <c r="B7" s="479"/>
      <c r="C7" s="356">
        <v>0</v>
      </c>
      <c r="D7" s="356">
        <v>12.5022</v>
      </c>
      <c r="E7" s="356">
        <v>10</v>
      </c>
      <c r="F7" s="356">
        <f t="shared" ref="F7:F14" si="0">E7*C7</f>
        <v>0</v>
      </c>
      <c r="G7" s="356">
        <f t="shared" ref="G7:G28" si="1">E7*D7</f>
        <v>125.02200000000001</v>
      </c>
      <c r="H7" s="356">
        <f>F7</f>
        <v>0</v>
      </c>
      <c r="I7" s="356">
        <f>G7</f>
        <v>125.02200000000001</v>
      </c>
    </row>
    <row r="8" spans="1:9" x14ac:dyDescent="0.2">
      <c r="A8" s="479" t="s">
        <v>919</v>
      </c>
      <c r="B8" s="479"/>
      <c r="C8" s="356">
        <v>0.87770000000000004</v>
      </c>
      <c r="D8" s="356">
        <v>2.7772999999999999</v>
      </c>
      <c r="E8" s="356">
        <v>10</v>
      </c>
      <c r="F8" s="356">
        <f t="shared" si="0"/>
        <v>8.777000000000001</v>
      </c>
      <c r="G8" s="356">
        <f t="shared" si="1"/>
        <v>27.773</v>
      </c>
      <c r="H8" s="356">
        <f t="shared" ref="H8:I12" si="2">H7+F8</f>
        <v>8.777000000000001</v>
      </c>
      <c r="I8" s="356">
        <f t="shared" si="2"/>
        <v>152.79500000000002</v>
      </c>
    </row>
    <row r="9" spans="1:9" x14ac:dyDescent="0.2">
      <c r="A9" s="479" t="s">
        <v>920</v>
      </c>
      <c r="B9" s="479"/>
      <c r="C9" s="356">
        <v>4.1547000000000001</v>
      </c>
      <c r="D9" s="356">
        <v>0</v>
      </c>
      <c r="E9" s="356">
        <v>10</v>
      </c>
      <c r="F9" s="356">
        <f t="shared" si="0"/>
        <v>41.546999999999997</v>
      </c>
      <c r="G9" s="356">
        <f t="shared" si="1"/>
        <v>0</v>
      </c>
      <c r="H9" s="356">
        <f t="shared" si="2"/>
        <v>50.323999999999998</v>
      </c>
      <c r="I9" s="356">
        <f t="shared" si="2"/>
        <v>152.79500000000002</v>
      </c>
    </row>
    <row r="10" spans="1:9" x14ac:dyDescent="0.2">
      <c r="A10" s="479" t="s">
        <v>921</v>
      </c>
      <c r="B10" s="479"/>
      <c r="C10" s="356">
        <v>2.5928</v>
      </c>
      <c r="D10" s="356">
        <v>0</v>
      </c>
      <c r="E10" s="356">
        <v>10</v>
      </c>
      <c r="F10" s="356">
        <f t="shared" si="0"/>
        <v>25.928000000000001</v>
      </c>
      <c r="G10" s="356">
        <f t="shared" si="1"/>
        <v>0</v>
      </c>
      <c r="H10" s="356">
        <f t="shared" si="2"/>
        <v>76.251999999999995</v>
      </c>
      <c r="I10" s="356">
        <f t="shared" si="2"/>
        <v>152.79500000000002</v>
      </c>
    </row>
    <row r="11" spans="1:9" x14ac:dyDescent="0.2">
      <c r="A11" s="479" t="s">
        <v>922</v>
      </c>
      <c r="B11" s="479"/>
      <c r="C11" s="356">
        <v>1.8368</v>
      </c>
      <c r="D11" s="356">
        <v>0</v>
      </c>
      <c r="E11" s="356">
        <v>10</v>
      </c>
      <c r="F11" s="356">
        <f t="shared" si="0"/>
        <v>18.367999999999999</v>
      </c>
      <c r="G11" s="356">
        <f t="shared" si="1"/>
        <v>0</v>
      </c>
      <c r="H11" s="356">
        <f t="shared" si="2"/>
        <v>94.61999999999999</v>
      </c>
      <c r="I11" s="356">
        <f t="shared" si="2"/>
        <v>152.79500000000002</v>
      </c>
    </row>
    <row r="12" spans="1:9" x14ac:dyDescent="0.2">
      <c r="A12" s="479" t="s">
        <v>923</v>
      </c>
      <c r="B12" s="479"/>
      <c r="C12" s="356">
        <v>2.0491999999999999</v>
      </c>
      <c r="D12" s="356">
        <v>0</v>
      </c>
      <c r="E12" s="356">
        <v>10</v>
      </c>
      <c r="F12" s="356">
        <f t="shared" si="0"/>
        <v>20.491999999999997</v>
      </c>
      <c r="G12" s="356">
        <f t="shared" si="1"/>
        <v>0</v>
      </c>
      <c r="H12" s="356">
        <f t="shared" si="2"/>
        <v>115.11199999999999</v>
      </c>
      <c r="I12" s="356">
        <f t="shared" si="2"/>
        <v>152.79500000000002</v>
      </c>
    </row>
    <row r="13" spans="1:9" x14ac:dyDescent="0.2">
      <c r="A13" s="479" t="s">
        <v>924</v>
      </c>
      <c r="B13" s="479"/>
      <c r="C13" s="356">
        <v>3.0554000000000001</v>
      </c>
      <c r="D13" s="356">
        <v>0</v>
      </c>
      <c r="E13" s="356">
        <v>10</v>
      </c>
      <c r="F13" s="356">
        <f t="shared" si="0"/>
        <v>30.554000000000002</v>
      </c>
      <c r="G13" s="356">
        <f t="shared" si="1"/>
        <v>0</v>
      </c>
      <c r="H13" s="356">
        <f t="shared" ref="H13:I28" si="3">H12+F13</f>
        <v>145.666</v>
      </c>
      <c r="I13" s="356">
        <f t="shared" si="3"/>
        <v>152.79500000000002</v>
      </c>
    </row>
    <row r="14" spans="1:9" x14ac:dyDescent="0.2">
      <c r="A14" s="479" t="s">
        <v>925</v>
      </c>
      <c r="B14" s="479"/>
      <c r="C14" s="356">
        <v>2.2515000000000001</v>
      </c>
      <c r="D14" s="356">
        <v>0</v>
      </c>
      <c r="E14" s="356">
        <v>10</v>
      </c>
      <c r="F14" s="356">
        <f t="shared" si="0"/>
        <v>22.515000000000001</v>
      </c>
      <c r="G14" s="356">
        <f t="shared" si="1"/>
        <v>0</v>
      </c>
      <c r="H14" s="356">
        <f t="shared" si="3"/>
        <v>168.18099999999998</v>
      </c>
      <c r="I14" s="356">
        <f t="shared" si="3"/>
        <v>152.79500000000002</v>
      </c>
    </row>
    <row r="15" spans="1:9" x14ac:dyDescent="0.2">
      <c r="A15" s="479" t="s">
        <v>926</v>
      </c>
      <c r="B15" s="479"/>
      <c r="C15" s="356">
        <v>1.7302</v>
      </c>
      <c r="D15" s="356">
        <v>0</v>
      </c>
      <c r="E15" s="356">
        <v>10</v>
      </c>
      <c r="F15" s="356">
        <f>E15*C15</f>
        <v>17.302</v>
      </c>
      <c r="G15" s="356">
        <f t="shared" si="1"/>
        <v>0</v>
      </c>
      <c r="H15" s="356">
        <f t="shared" si="3"/>
        <v>185.48299999999998</v>
      </c>
      <c r="I15" s="356">
        <f t="shared" si="3"/>
        <v>152.79500000000002</v>
      </c>
    </row>
    <row r="16" spans="1:9" x14ac:dyDescent="0.2">
      <c r="A16" s="479" t="s">
        <v>927</v>
      </c>
      <c r="B16" s="479"/>
      <c r="C16" s="356">
        <v>1.8886000000000001</v>
      </c>
      <c r="D16" s="356">
        <v>2.2964000000000002</v>
      </c>
      <c r="E16" s="356">
        <v>10</v>
      </c>
      <c r="F16" s="356">
        <f>E16*C16</f>
        <v>18.885999999999999</v>
      </c>
      <c r="G16" s="356">
        <f t="shared" si="1"/>
        <v>22.964000000000002</v>
      </c>
      <c r="H16" s="356">
        <f t="shared" si="3"/>
        <v>204.36899999999997</v>
      </c>
      <c r="I16" s="356">
        <f t="shared" si="3"/>
        <v>175.75900000000001</v>
      </c>
    </row>
    <row r="17" spans="1:9" x14ac:dyDescent="0.2">
      <c r="A17" s="479" t="s">
        <v>928</v>
      </c>
      <c r="B17" s="479"/>
      <c r="C17" s="356">
        <v>0</v>
      </c>
      <c r="D17" s="356">
        <v>5.5022000000000002</v>
      </c>
      <c r="E17" s="356">
        <v>10</v>
      </c>
      <c r="F17" s="356">
        <f t="shared" ref="F17:F37" si="4">E17*C17</f>
        <v>0</v>
      </c>
      <c r="G17" s="356">
        <f t="shared" si="1"/>
        <v>55.022000000000006</v>
      </c>
      <c r="H17" s="356">
        <f t="shared" si="3"/>
        <v>204.36899999999997</v>
      </c>
      <c r="I17" s="356">
        <f t="shared" si="3"/>
        <v>230.78100000000001</v>
      </c>
    </row>
    <row r="18" spans="1:9" x14ac:dyDescent="0.2">
      <c r="A18" s="479" t="s">
        <v>929</v>
      </c>
      <c r="B18" s="479"/>
      <c r="C18" s="356">
        <v>0</v>
      </c>
      <c r="D18" s="356">
        <v>8.6629000000000005</v>
      </c>
      <c r="E18" s="356">
        <v>10</v>
      </c>
      <c r="F18" s="356">
        <f t="shared" si="4"/>
        <v>0</v>
      </c>
      <c r="G18" s="356">
        <f t="shared" si="1"/>
        <v>86.629000000000005</v>
      </c>
      <c r="H18" s="356">
        <f t="shared" si="3"/>
        <v>204.36899999999997</v>
      </c>
      <c r="I18" s="356">
        <f t="shared" si="3"/>
        <v>317.41000000000003</v>
      </c>
    </row>
    <row r="19" spans="1:9" x14ac:dyDescent="0.2">
      <c r="A19" s="479" t="s">
        <v>930</v>
      </c>
      <c r="B19" s="479"/>
      <c r="C19" s="356">
        <v>0</v>
      </c>
      <c r="D19" s="356">
        <v>12.938599999999999</v>
      </c>
      <c r="E19" s="356">
        <v>10</v>
      </c>
      <c r="F19" s="356">
        <f t="shared" si="4"/>
        <v>0</v>
      </c>
      <c r="G19" s="356">
        <f t="shared" si="1"/>
        <v>129.386</v>
      </c>
      <c r="H19" s="356">
        <f t="shared" si="3"/>
        <v>204.36899999999997</v>
      </c>
      <c r="I19" s="356">
        <f t="shared" si="3"/>
        <v>446.79600000000005</v>
      </c>
    </row>
    <row r="20" spans="1:9" x14ac:dyDescent="0.2">
      <c r="A20" s="479" t="s">
        <v>931</v>
      </c>
      <c r="B20" s="479"/>
      <c r="C20" s="356">
        <v>0</v>
      </c>
      <c r="D20" s="356">
        <v>24.238099999999999</v>
      </c>
      <c r="E20" s="356">
        <v>10</v>
      </c>
      <c r="F20" s="356">
        <f t="shared" si="4"/>
        <v>0</v>
      </c>
      <c r="G20" s="356">
        <f t="shared" si="1"/>
        <v>242.381</v>
      </c>
      <c r="H20" s="356">
        <f t="shared" si="3"/>
        <v>204.36899999999997</v>
      </c>
      <c r="I20" s="356">
        <f t="shared" si="3"/>
        <v>689.17700000000002</v>
      </c>
    </row>
    <row r="21" spans="1:9" x14ac:dyDescent="0.2">
      <c r="A21" s="479" t="s">
        <v>932</v>
      </c>
      <c r="B21" s="479"/>
      <c r="C21" s="356">
        <v>0</v>
      </c>
      <c r="D21" s="356">
        <v>32.898600000000002</v>
      </c>
      <c r="E21" s="356">
        <v>10</v>
      </c>
      <c r="F21" s="356">
        <f t="shared" si="4"/>
        <v>0</v>
      </c>
      <c r="G21" s="356">
        <f t="shared" si="1"/>
        <v>328.98599999999999</v>
      </c>
      <c r="H21" s="356">
        <f t="shared" si="3"/>
        <v>204.36899999999997</v>
      </c>
      <c r="I21" s="356">
        <f t="shared" si="3"/>
        <v>1018.163</v>
      </c>
    </row>
    <row r="22" spans="1:9" x14ac:dyDescent="0.2">
      <c r="A22" s="479" t="s">
        <v>933</v>
      </c>
      <c r="B22" s="479"/>
      <c r="C22" s="356">
        <v>0</v>
      </c>
      <c r="D22" s="356">
        <v>37.193199999999997</v>
      </c>
      <c r="E22" s="356">
        <v>10</v>
      </c>
      <c r="F22" s="356">
        <f t="shared" si="4"/>
        <v>0</v>
      </c>
      <c r="G22" s="356">
        <f t="shared" si="1"/>
        <v>371.93199999999996</v>
      </c>
      <c r="H22" s="356">
        <f t="shared" si="3"/>
        <v>204.36899999999997</v>
      </c>
      <c r="I22" s="356">
        <f t="shared" si="3"/>
        <v>1390.095</v>
      </c>
    </row>
    <row r="23" spans="1:9" x14ac:dyDescent="0.2">
      <c r="A23" s="479" t="s">
        <v>934</v>
      </c>
      <c r="B23" s="479"/>
      <c r="C23" s="356">
        <v>0</v>
      </c>
      <c r="D23" s="356">
        <v>40.6235</v>
      </c>
      <c r="E23" s="356">
        <v>10</v>
      </c>
      <c r="F23" s="356">
        <f t="shared" si="4"/>
        <v>0</v>
      </c>
      <c r="G23" s="356">
        <f t="shared" si="1"/>
        <v>406.23500000000001</v>
      </c>
      <c r="H23" s="356">
        <f t="shared" si="3"/>
        <v>204.36899999999997</v>
      </c>
      <c r="I23" s="356">
        <f t="shared" si="3"/>
        <v>1796.33</v>
      </c>
    </row>
    <row r="24" spans="1:9" x14ac:dyDescent="0.2">
      <c r="A24" s="479" t="s">
        <v>935</v>
      </c>
      <c r="B24" s="479"/>
      <c r="C24" s="356">
        <v>0</v>
      </c>
      <c r="D24" s="356">
        <v>41.307099999999998</v>
      </c>
      <c r="E24" s="356">
        <v>10</v>
      </c>
      <c r="F24" s="356">
        <f t="shared" si="4"/>
        <v>0</v>
      </c>
      <c r="G24" s="356">
        <f t="shared" si="1"/>
        <v>413.07099999999997</v>
      </c>
      <c r="H24" s="356">
        <f t="shared" si="3"/>
        <v>204.36899999999997</v>
      </c>
      <c r="I24" s="356">
        <f t="shared" si="3"/>
        <v>2209.4009999999998</v>
      </c>
    </row>
    <row r="25" spans="1:9" x14ac:dyDescent="0.2">
      <c r="A25" s="479" t="s">
        <v>936</v>
      </c>
      <c r="B25" s="479"/>
      <c r="C25" s="356">
        <v>0</v>
      </c>
      <c r="D25" s="356">
        <v>43.536099999999998</v>
      </c>
      <c r="E25" s="356">
        <v>10</v>
      </c>
      <c r="F25" s="356">
        <f t="shared" si="4"/>
        <v>0</v>
      </c>
      <c r="G25" s="356">
        <f t="shared" si="1"/>
        <v>435.36099999999999</v>
      </c>
      <c r="H25" s="356">
        <f t="shared" si="3"/>
        <v>204.36899999999997</v>
      </c>
      <c r="I25" s="356">
        <f t="shared" si="3"/>
        <v>2644.7619999999997</v>
      </c>
    </row>
    <row r="26" spans="1:9" x14ac:dyDescent="0.2">
      <c r="A26" s="479" t="s">
        <v>937</v>
      </c>
      <c r="B26" s="479"/>
      <c r="C26" s="356">
        <v>0</v>
      </c>
      <c r="D26" s="356">
        <v>44.055999999999997</v>
      </c>
      <c r="E26" s="356">
        <v>10</v>
      </c>
      <c r="F26" s="356">
        <f t="shared" si="4"/>
        <v>0</v>
      </c>
      <c r="G26" s="356">
        <f t="shared" si="1"/>
        <v>440.55999999999995</v>
      </c>
      <c r="H26" s="356">
        <f t="shared" si="3"/>
        <v>204.36899999999997</v>
      </c>
      <c r="I26" s="356">
        <f t="shared" si="3"/>
        <v>3085.3219999999997</v>
      </c>
    </row>
    <row r="27" spans="1:9" x14ac:dyDescent="0.2">
      <c r="A27" s="479" t="s">
        <v>938</v>
      </c>
      <c r="B27" s="479"/>
      <c r="C27" s="356">
        <v>0</v>
      </c>
      <c r="D27" s="356">
        <v>43.267000000000003</v>
      </c>
      <c r="E27" s="356">
        <v>10</v>
      </c>
      <c r="F27" s="356">
        <f t="shared" si="4"/>
        <v>0</v>
      </c>
      <c r="G27" s="356">
        <f t="shared" si="1"/>
        <v>432.67</v>
      </c>
      <c r="H27" s="356">
        <f t="shared" si="3"/>
        <v>204.36899999999997</v>
      </c>
      <c r="I27" s="356">
        <f t="shared" si="3"/>
        <v>3517.9919999999997</v>
      </c>
    </row>
    <row r="28" spans="1:9" x14ac:dyDescent="0.2">
      <c r="A28" s="479" t="s">
        <v>939</v>
      </c>
      <c r="B28" s="479"/>
      <c r="C28" s="356">
        <v>0</v>
      </c>
      <c r="D28" s="356">
        <v>40.212800000000001</v>
      </c>
      <c r="E28" s="356">
        <v>10</v>
      </c>
      <c r="F28" s="356">
        <f t="shared" si="4"/>
        <v>0</v>
      </c>
      <c r="G28" s="356">
        <f t="shared" si="1"/>
        <v>402.12800000000004</v>
      </c>
      <c r="H28" s="356">
        <f t="shared" si="3"/>
        <v>204.36899999999997</v>
      </c>
      <c r="I28" s="356">
        <f t="shared" si="3"/>
        <v>3920.12</v>
      </c>
    </row>
    <row r="29" spans="1:9" x14ac:dyDescent="0.2">
      <c r="A29" s="479" t="s">
        <v>940</v>
      </c>
      <c r="B29" s="479"/>
      <c r="C29" s="356">
        <v>0</v>
      </c>
      <c r="D29" s="356">
        <v>33.050600000000003</v>
      </c>
      <c r="E29" s="356">
        <v>10</v>
      </c>
      <c r="F29" s="356">
        <f t="shared" si="4"/>
        <v>0</v>
      </c>
      <c r="G29" s="356">
        <f t="shared" ref="G29:G37" si="5">E29*D29</f>
        <v>330.50600000000003</v>
      </c>
      <c r="H29" s="356">
        <f t="shared" ref="H29:I37" si="6">H28+F29</f>
        <v>204.36899999999997</v>
      </c>
      <c r="I29" s="356">
        <f t="shared" si="6"/>
        <v>4250.6260000000002</v>
      </c>
    </row>
    <row r="30" spans="1:9" x14ac:dyDescent="0.2">
      <c r="A30" s="479" t="s">
        <v>941</v>
      </c>
      <c r="B30" s="479"/>
      <c r="C30" s="356">
        <v>0</v>
      </c>
      <c r="D30" s="356">
        <v>29.967199999999998</v>
      </c>
      <c r="E30" s="356">
        <v>10</v>
      </c>
      <c r="F30" s="356">
        <f t="shared" si="4"/>
        <v>0</v>
      </c>
      <c r="G30" s="356">
        <f t="shared" si="5"/>
        <v>299.67199999999997</v>
      </c>
      <c r="H30" s="356">
        <f t="shared" si="6"/>
        <v>204.36899999999997</v>
      </c>
      <c r="I30" s="356">
        <f t="shared" si="6"/>
        <v>4550.2979999999998</v>
      </c>
    </row>
    <row r="31" spans="1:9" x14ac:dyDescent="0.2">
      <c r="A31" s="479" t="s">
        <v>942</v>
      </c>
      <c r="B31" s="479"/>
      <c r="C31" s="356">
        <v>0</v>
      </c>
      <c r="D31" s="356">
        <v>21.655799999999999</v>
      </c>
      <c r="E31" s="356">
        <v>10</v>
      </c>
      <c r="F31" s="356">
        <f t="shared" si="4"/>
        <v>0</v>
      </c>
      <c r="G31" s="356">
        <f t="shared" si="5"/>
        <v>216.55799999999999</v>
      </c>
      <c r="H31" s="356">
        <f t="shared" si="6"/>
        <v>204.36899999999997</v>
      </c>
      <c r="I31" s="356">
        <f t="shared" si="6"/>
        <v>4766.8559999999998</v>
      </c>
    </row>
    <row r="32" spans="1:9" x14ac:dyDescent="0.2">
      <c r="A32" s="479" t="s">
        <v>943</v>
      </c>
      <c r="B32" s="479"/>
      <c r="C32" s="356">
        <v>0</v>
      </c>
      <c r="D32" s="356">
        <v>19.1189</v>
      </c>
      <c r="E32" s="356">
        <v>10</v>
      </c>
      <c r="F32" s="356">
        <f t="shared" si="4"/>
        <v>0</v>
      </c>
      <c r="G32" s="356">
        <f t="shared" si="5"/>
        <v>191.18899999999999</v>
      </c>
      <c r="H32" s="356">
        <f t="shared" si="6"/>
        <v>204.36899999999997</v>
      </c>
      <c r="I32" s="356">
        <f t="shared" si="6"/>
        <v>4958.0450000000001</v>
      </c>
    </row>
    <row r="33" spans="1:9" x14ac:dyDescent="0.2">
      <c r="A33" s="479" t="s">
        <v>944</v>
      </c>
      <c r="B33" s="479"/>
      <c r="C33" s="356">
        <v>0</v>
      </c>
      <c r="D33" s="356">
        <v>13.464700000000001</v>
      </c>
      <c r="E33" s="356">
        <v>10</v>
      </c>
      <c r="F33" s="356">
        <f t="shared" si="4"/>
        <v>0</v>
      </c>
      <c r="G33" s="356">
        <f t="shared" si="5"/>
        <v>134.64699999999999</v>
      </c>
      <c r="H33" s="356">
        <f t="shared" si="6"/>
        <v>204.36899999999997</v>
      </c>
      <c r="I33" s="356">
        <f t="shared" si="6"/>
        <v>5092.692</v>
      </c>
    </row>
    <row r="34" spans="1:9" x14ac:dyDescent="0.2">
      <c r="A34" s="479" t="s">
        <v>945</v>
      </c>
      <c r="B34" s="479"/>
      <c r="C34" s="356">
        <v>0</v>
      </c>
      <c r="D34" s="356">
        <v>7.4547999999999996</v>
      </c>
      <c r="E34" s="356">
        <v>10</v>
      </c>
      <c r="F34" s="356">
        <f t="shared" si="4"/>
        <v>0</v>
      </c>
      <c r="G34" s="356">
        <f t="shared" si="5"/>
        <v>74.548000000000002</v>
      </c>
      <c r="H34" s="356">
        <f t="shared" si="6"/>
        <v>204.36899999999997</v>
      </c>
      <c r="I34" s="356">
        <f t="shared" si="6"/>
        <v>5167.24</v>
      </c>
    </row>
    <row r="35" spans="1:9" x14ac:dyDescent="0.2">
      <c r="A35" s="479" t="s">
        <v>946</v>
      </c>
      <c r="B35" s="479"/>
      <c r="C35" s="356">
        <v>0.66669999999999996</v>
      </c>
      <c r="D35" s="356">
        <v>5.4412000000000003</v>
      </c>
      <c r="E35" s="356">
        <v>10</v>
      </c>
      <c r="F35" s="356">
        <f t="shared" si="4"/>
        <v>6.6669999999999998</v>
      </c>
      <c r="G35" s="356">
        <f t="shared" si="5"/>
        <v>54.412000000000006</v>
      </c>
      <c r="H35" s="356">
        <f t="shared" si="6"/>
        <v>211.03599999999997</v>
      </c>
      <c r="I35" s="356">
        <f t="shared" si="6"/>
        <v>5221.652</v>
      </c>
    </row>
    <row r="36" spans="1:9" x14ac:dyDescent="0.2">
      <c r="A36" s="479" t="s">
        <v>947</v>
      </c>
      <c r="B36" s="479"/>
      <c r="C36" s="356">
        <v>2.395</v>
      </c>
      <c r="D36" s="356">
        <v>1.8835</v>
      </c>
      <c r="E36" s="356">
        <v>10</v>
      </c>
      <c r="F36" s="356">
        <f t="shared" si="4"/>
        <v>23.95</v>
      </c>
      <c r="G36" s="356">
        <f t="shared" si="5"/>
        <v>18.835000000000001</v>
      </c>
      <c r="H36" s="356">
        <f t="shared" si="6"/>
        <v>234.98599999999996</v>
      </c>
      <c r="I36" s="356">
        <f t="shared" si="6"/>
        <v>5240.4870000000001</v>
      </c>
    </row>
    <row r="37" spans="1:9" x14ac:dyDescent="0.2">
      <c r="A37" s="479" t="s">
        <v>948</v>
      </c>
      <c r="B37" s="479"/>
      <c r="C37" s="356">
        <v>5.2798999999999996</v>
      </c>
      <c r="D37" s="356">
        <v>0.20330000000000001</v>
      </c>
      <c r="E37" s="356">
        <v>10</v>
      </c>
      <c r="F37" s="356">
        <f t="shared" si="4"/>
        <v>52.798999999999992</v>
      </c>
      <c r="G37" s="356">
        <f t="shared" si="5"/>
        <v>2.0329999999999999</v>
      </c>
      <c r="H37" s="356">
        <f t="shared" si="6"/>
        <v>287.78499999999997</v>
      </c>
      <c r="I37" s="356">
        <f t="shared" si="6"/>
        <v>5242.5200000000004</v>
      </c>
    </row>
    <row r="38" spans="1:9" x14ac:dyDescent="0.2">
      <c r="F38" s="515" t="s">
        <v>914</v>
      </c>
      <c r="G38" s="516"/>
      <c r="H38" s="289">
        <f>H37</f>
        <v>287.78499999999997</v>
      </c>
      <c r="I38" s="290" t="s">
        <v>949</v>
      </c>
    </row>
    <row r="39" spans="1:9" ht="13.15" customHeight="1" x14ac:dyDescent="0.2">
      <c r="F39" s="515" t="s">
        <v>916</v>
      </c>
      <c r="G39" s="516"/>
      <c r="H39" s="516"/>
      <c r="I39" s="289">
        <f>I37</f>
        <v>5242.5200000000004</v>
      </c>
    </row>
    <row r="43" spans="1:9" x14ac:dyDescent="0.2">
      <c r="H43" s="34"/>
    </row>
  </sheetData>
  <mergeCells count="50">
    <mergeCell ref="A1:C1"/>
    <mergeCell ref="D1:G1"/>
    <mergeCell ref="H1:I1"/>
    <mergeCell ref="A2:B2"/>
    <mergeCell ref="C2:E2"/>
    <mergeCell ref="F2:I2"/>
    <mergeCell ref="A3:B3"/>
    <mergeCell ref="C3:E3"/>
    <mergeCell ref="G3:I3"/>
    <mergeCell ref="A4:B4"/>
    <mergeCell ref="C4:E4"/>
    <mergeCell ref="G4:I4"/>
    <mergeCell ref="A5:B6"/>
    <mergeCell ref="C5:D5"/>
    <mergeCell ref="E5:E6"/>
    <mergeCell ref="F5:G5"/>
    <mergeCell ref="H5:I5"/>
    <mergeCell ref="A17:B17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6:B36"/>
    <mergeCell ref="A37:B37"/>
    <mergeCell ref="F38:G38"/>
    <mergeCell ref="F39:H39"/>
    <mergeCell ref="A30:B30"/>
    <mergeCell ref="A31:B31"/>
    <mergeCell ref="A32:B32"/>
    <mergeCell ref="A33:B33"/>
    <mergeCell ref="A34:B34"/>
    <mergeCell ref="A35:B35"/>
  </mergeCells>
  <pageMargins left="0.7" right="0.7" top="0.75" bottom="0.75" header="0.3" footer="0.3"/>
  <pageSetup paperSize="9" scale="79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560C-13DB-4C02-B640-5D2C585ABB6C}">
  <dimension ref="A1:G109"/>
  <sheetViews>
    <sheetView view="pageBreakPreview" topLeftCell="A91" zoomScaleNormal="100" zoomScaleSheetLayoutView="100" workbookViewId="0">
      <selection activeCell="E60" sqref="E60"/>
    </sheetView>
  </sheetViews>
  <sheetFormatPr defaultRowHeight="12.75" x14ac:dyDescent="0.2"/>
  <cols>
    <col min="1" max="1" width="35.1640625" style="152" customWidth="1"/>
    <col min="2" max="2" width="12.1640625" style="152" customWidth="1"/>
    <col min="3" max="3" width="14.5" style="152" customWidth="1"/>
    <col min="4" max="4" width="13.33203125" style="152" customWidth="1"/>
    <col min="5" max="5" width="14.5" style="152" customWidth="1"/>
    <col min="6" max="7" width="16.1640625" style="152" customWidth="1"/>
    <col min="8" max="16384" width="9.33203125" style="152"/>
  </cols>
  <sheetData>
    <row r="1" spans="1:7" ht="17.25" customHeight="1" x14ac:dyDescent="0.2">
      <c r="A1" s="520" t="s">
        <v>950</v>
      </c>
      <c r="B1" s="521"/>
      <c r="C1" s="521"/>
      <c r="D1" s="521"/>
      <c r="E1" s="521"/>
      <c r="F1" s="521"/>
      <c r="G1" s="521"/>
    </row>
    <row r="2" spans="1:7" ht="27" customHeight="1" x14ac:dyDescent="0.2">
      <c r="A2" s="307" t="s">
        <v>951</v>
      </c>
      <c r="B2" s="308" t="s">
        <v>952</v>
      </c>
      <c r="C2" s="309" t="s">
        <v>953</v>
      </c>
      <c r="D2" s="308" t="s">
        <v>954</v>
      </c>
      <c r="E2" s="310" t="s">
        <v>955</v>
      </c>
      <c r="F2" s="308" t="s">
        <v>956</v>
      </c>
      <c r="G2" s="309" t="s">
        <v>957</v>
      </c>
    </row>
    <row r="3" spans="1:7" ht="15" customHeight="1" x14ac:dyDescent="0.2">
      <c r="A3" s="522" t="s">
        <v>958</v>
      </c>
      <c r="B3" s="523"/>
      <c r="C3" s="523"/>
      <c r="D3" s="523"/>
      <c r="E3" s="523"/>
      <c r="F3" s="523"/>
      <c r="G3" s="523"/>
    </row>
    <row r="4" spans="1:7" customFormat="1" ht="15.6" customHeight="1" x14ac:dyDescent="0.2">
      <c r="A4" s="332" t="s">
        <v>959</v>
      </c>
      <c r="B4" s="333">
        <v>60.28</v>
      </c>
      <c r="C4" s="333">
        <v>700.76</v>
      </c>
      <c r="D4" s="333">
        <v>0</v>
      </c>
      <c r="E4" s="333">
        <v>0</v>
      </c>
      <c r="F4" s="334">
        <v>29333.1</v>
      </c>
      <c r="G4" s="334">
        <v>24604.880000000001</v>
      </c>
    </row>
    <row r="5" spans="1:7" customFormat="1" ht="15.6" customHeight="1" x14ac:dyDescent="0.2">
      <c r="A5" s="332" t="s">
        <v>960</v>
      </c>
      <c r="B5" s="333">
        <v>33.9</v>
      </c>
      <c r="C5" s="333">
        <v>475.36</v>
      </c>
      <c r="D5" s="333">
        <v>0</v>
      </c>
      <c r="E5" s="333">
        <v>0</v>
      </c>
      <c r="F5" s="334">
        <v>29808.46</v>
      </c>
      <c r="G5" s="334">
        <f>G4+E5</f>
        <v>24604.880000000001</v>
      </c>
    </row>
    <row r="6" spans="1:7" customFormat="1" ht="15.6" customHeight="1" x14ac:dyDescent="0.2">
      <c r="A6" s="332" t="s">
        <v>961</v>
      </c>
      <c r="B6" s="333">
        <v>14.8</v>
      </c>
      <c r="C6" s="333">
        <v>246.41</v>
      </c>
      <c r="D6" s="333">
        <v>0</v>
      </c>
      <c r="E6" s="333">
        <v>0</v>
      </c>
      <c r="F6" s="334">
        <v>30054.87</v>
      </c>
      <c r="G6" s="334">
        <f t="shared" ref="G6:G26" si="0">G5+E6</f>
        <v>24604.880000000001</v>
      </c>
    </row>
    <row r="7" spans="1:7" customFormat="1" ht="15.6" customHeight="1" x14ac:dyDescent="0.2">
      <c r="A7" s="332" t="s">
        <v>962</v>
      </c>
      <c r="B7" s="333">
        <v>0</v>
      </c>
      <c r="C7" s="333">
        <v>74.989999999999995</v>
      </c>
      <c r="D7" s="333">
        <v>7.19</v>
      </c>
      <c r="E7" s="333">
        <v>0</v>
      </c>
      <c r="F7" s="334">
        <v>30129.87</v>
      </c>
      <c r="G7" s="334">
        <f t="shared" si="0"/>
        <v>24604.880000000001</v>
      </c>
    </row>
    <row r="8" spans="1:7" customFormat="1" ht="15.6" customHeight="1" x14ac:dyDescent="0.2">
      <c r="A8" s="332" t="s">
        <v>963</v>
      </c>
      <c r="B8" s="333">
        <v>0</v>
      </c>
      <c r="C8" s="333">
        <v>0</v>
      </c>
      <c r="D8" s="333">
        <v>38.79</v>
      </c>
      <c r="E8" s="333">
        <v>0</v>
      </c>
      <c r="F8" s="334">
        <v>30129.87</v>
      </c>
      <c r="G8" s="334">
        <f t="shared" si="0"/>
        <v>24604.880000000001</v>
      </c>
    </row>
    <row r="9" spans="1:7" customFormat="1" ht="15.6" customHeight="1" x14ac:dyDescent="0.2">
      <c r="A9" s="332" t="s">
        <v>964</v>
      </c>
      <c r="B9" s="333">
        <v>0</v>
      </c>
      <c r="C9" s="333">
        <v>0</v>
      </c>
      <c r="D9" s="333">
        <v>71.28</v>
      </c>
      <c r="E9" s="333">
        <v>0</v>
      </c>
      <c r="F9" s="334">
        <v>30129.87</v>
      </c>
      <c r="G9" s="334">
        <f t="shared" si="0"/>
        <v>24604.880000000001</v>
      </c>
    </row>
    <row r="10" spans="1:7" customFormat="1" ht="15.6" customHeight="1" x14ac:dyDescent="0.2">
      <c r="A10" s="332" t="s">
        <v>965</v>
      </c>
      <c r="B10" s="333">
        <v>0</v>
      </c>
      <c r="C10" s="333">
        <v>0</v>
      </c>
      <c r="D10" s="333">
        <v>92.85</v>
      </c>
      <c r="E10" s="333">
        <v>0</v>
      </c>
      <c r="F10" s="334">
        <v>30129.87</v>
      </c>
      <c r="G10" s="334">
        <f t="shared" si="0"/>
        <v>24604.880000000001</v>
      </c>
    </row>
    <row r="11" spans="1:7" customFormat="1" ht="15.6" customHeight="1" x14ac:dyDescent="0.2">
      <c r="A11" s="332" t="s">
        <v>966</v>
      </c>
      <c r="B11" s="333">
        <v>0</v>
      </c>
      <c r="C11" s="333">
        <v>0</v>
      </c>
      <c r="D11" s="333">
        <v>101.64</v>
      </c>
      <c r="E11" s="333">
        <v>0</v>
      </c>
      <c r="F11" s="334">
        <v>30129.87</v>
      </c>
      <c r="G11" s="334">
        <f t="shared" si="0"/>
        <v>24604.880000000001</v>
      </c>
    </row>
    <row r="12" spans="1:7" customFormat="1" ht="15.6" customHeight="1" x14ac:dyDescent="0.2">
      <c r="A12" s="332" t="s">
        <v>967</v>
      </c>
      <c r="B12" s="333">
        <v>0</v>
      </c>
      <c r="C12" s="333">
        <v>0</v>
      </c>
      <c r="D12" s="333">
        <v>101.79</v>
      </c>
      <c r="E12" s="333">
        <v>0</v>
      </c>
      <c r="F12" s="334">
        <v>30129.87</v>
      </c>
      <c r="G12" s="334">
        <f t="shared" si="0"/>
        <v>24604.880000000001</v>
      </c>
    </row>
    <row r="13" spans="1:7" customFormat="1" ht="15.6" customHeight="1" x14ac:dyDescent="0.2">
      <c r="A13" s="332" t="s">
        <v>968</v>
      </c>
      <c r="B13" s="333">
        <v>0</v>
      </c>
      <c r="C13" s="333">
        <v>0.03</v>
      </c>
      <c r="D13" s="333">
        <v>110.99</v>
      </c>
      <c r="E13" s="333">
        <v>0</v>
      </c>
      <c r="F13" s="334">
        <v>30129.89</v>
      </c>
      <c r="G13" s="334">
        <f t="shared" si="0"/>
        <v>24604.880000000001</v>
      </c>
    </row>
    <row r="14" spans="1:7" customFormat="1" ht="15.6" customHeight="1" x14ac:dyDescent="0.2">
      <c r="A14" s="332" t="s">
        <v>969</v>
      </c>
      <c r="B14" s="333">
        <v>0</v>
      </c>
      <c r="C14" s="333">
        <v>0.03</v>
      </c>
      <c r="D14" s="333">
        <v>121.39</v>
      </c>
      <c r="E14" s="333">
        <v>0</v>
      </c>
      <c r="F14" s="334">
        <v>30129.919999999998</v>
      </c>
      <c r="G14" s="334">
        <f t="shared" si="0"/>
        <v>24604.880000000001</v>
      </c>
    </row>
    <row r="15" spans="1:7" customFormat="1" ht="15.6" customHeight="1" x14ac:dyDescent="0.2">
      <c r="A15" s="332" t="s">
        <v>970</v>
      </c>
      <c r="B15" s="333">
        <v>0</v>
      </c>
      <c r="C15" s="333">
        <v>0</v>
      </c>
      <c r="D15" s="333">
        <v>133.41</v>
      </c>
      <c r="E15" s="333">
        <v>0</v>
      </c>
      <c r="F15" s="334">
        <v>30129.919999999998</v>
      </c>
      <c r="G15" s="334">
        <f t="shared" si="0"/>
        <v>24604.880000000001</v>
      </c>
    </row>
    <row r="16" spans="1:7" customFormat="1" ht="15.6" customHeight="1" x14ac:dyDescent="0.2">
      <c r="A16" s="332" t="s">
        <v>971</v>
      </c>
      <c r="B16" s="333">
        <v>0</v>
      </c>
      <c r="C16" s="333">
        <v>0</v>
      </c>
      <c r="D16" s="333">
        <v>140.41</v>
      </c>
      <c r="E16" s="333">
        <v>0</v>
      </c>
      <c r="F16" s="334">
        <v>30129.919999999998</v>
      </c>
      <c r="G16" s="334">
        <f t="shared" si="0"/>
        <v>24604.880000000001</v>
      </c>
    </row>
    <row r="17" spans="1:7" customFormat="1" ht="15.6" customHeight="1" x14ac:dyDescent="0.2">
      <c r="A17" s="332" t="s">
        <v>972</v>
      </c>
      <c r="B17" s="333">
        <v>0</v>
      </c>
      <c r="C17" s="333">
        <v>0</v>
      </c>
      <c r="D17" s="333">
        <v>116.38</v>
      </c>
      <c r="E17" s="333">
        <v>0</v>
      </c>
      <c r="F17" s="334">
        <v>30129.919999999998</v>
      </c>
      <c r="G17" s="334">
        <f t="shared" si="0"/>
        <v>24604.880000000001</v>
      </c>
    </row>
    <row r="18" spans="1:7" customFormat="1" ht="15.6" customHeight="1" x14ac:dyDescent="0.2">
      <c r="A18" s="332" t="s">
        <v>973</v>
      </c>
      <c r="B18" s="333">
        <v>0</v>
      </c>
      <c r="C18" s="333">
        <v>0</v>
      </c>
      <c r="D18" s="333">
        <v>83.82</v>
      </c>
      <c r="E18" s="333">
        <v>0</v>
      </c>
      <c r="F18" s="334">
        <v>30129.919999999998</v>
      </c>
      <c r="G18" s="334">
        <f t="shared" si="0"/>
        <v>24604.880000000001</v>
      </c>
    </row>
    <row r="19" spans="1:7" customFormat="1" ht="15.6" customHeight="1" x14ac:dyDescent="0.2">
      <c r="A19" s="332" t="s">
        <v>974</v>
      </c>
      <c r="B19" s="333">
        <v>0</v>
      </c>
      <c r="C19" s="333">
        <v>0</v>
      </c>
      <c r="D19" s="333">
        <v>59.04</v>
      </c>
      <c r="E19" s="333">
        <v>823.99</v>
      </c>
      <c r="F19" s="334">
        <v>30129.919999999998</v>
      </c>
      <c r="G19" s="334">
        <f t="shared" si="0"/>
        <v>25428.870000000003</v>
      </c>
    </row>
    <row r="20" spans="1:7" customFormat="1" ht="15.75" customHeight="1" x14ac:dyDescent="0.2">
      <c r="A20" s="332" t="s">
        <v>975</v>
      </c>
      <c r="B20" s="333">
        <v>0</v>
      </c>
      <c r="C20" s="333">
        <v>0</v>
      </c>
      <c r="D20" s="333">
        <v>41.31</v>
      </c>
      <c r="E20" s="333">
        <v>579.15</v>
      </c>
      <c r="F20" s="334">
        <v>30129.919999999998</v>
      </c>
      <c r="G20" s="334">
        <f t="shared" si="0"/>
        <v>26008.020000000004</v>
      </c>
    </row>
    <row r="21" spans="1:7" customFormat="1" ht="15.6" customHeight="1" x14ac:dyDescent="0.2">
      <c r="A21" s="332" t="s">
        <v>976</v>
      </c>
      <c r="B21" s="333">
        <v>0</v>
      </c>
      <c r="C21" s="333">
        <v>0</v>
      </c>
      <c r="D21" s="333">
        <v>27.02</v>
      </c>
      <c r="E21" s="333">
        <v>394.58</v>
      </c>
      <c r="F21" s="334">
        <v>30129.919999999998</v>
      </c>
      <c r="G21" s="334">
        <f t="shared" si="0"/>
        <v>26402.600000000006</v>
      </c>
    </row>
    <row r="22" spans="1:7" customFormat="1" ht="15.6" customHeight="1" x14ac:dyDescent="0.2">
      <c r="A22" s="332" t="s">
        <v>977</v>
      </c>
      <c r="B22" s="333">
        <v>0</v>
      </c>
      <c r="C22" s="333">
        <v>0</v>
      </c>
      <c r="D22" s="333">
        <v>19.03</v>
      </c>
      <c r="E22" s="333">
        <v>265.98</v>
      </c>
      <c r="F22" s="334">
        <v>30129.919999999998</v>
      </c>
      <c r="G22" s="334">
        <f t="shared" si="0"/>
        <v>26668.580000000005</v>
      </c>
    </row>
    <row r="23" spans="1:7" customFormat="1" ht="15.6" customHeight="1" x14ac:dyDescent="0.2">
      <c r="A23" s="332" t="s">
        <v>978</v>
      </c>
      <c r="B23" s="333">
        <v>0</v>
      </c>
      <c r="C23" s="333">
        <v>0</v>
      </c>
      <c r="D23" s="333">
        <v>14.54</v>
      </c>
      <c r="E23" s="333">
        <v>193.98</v>
      </c>
      <c r="F23" s="334">
        <v>30129.919999999998</v>
      </c>
      <c r="G23" s="334">
        <f t="shared" si="0"/>
        <v>26862.560000000005</v>
      </c>
    </row>
    <row r="24" spans="1:7" customFormat="1" ht="15.6" customHeight="1" x14ac:dyDescent="0.2">
      <c r="A24" s="332" t="s">
        <v>979</v>
      </c>
      <c r="B24" s="333">
        <v>0</v>
      </c>
      <c r="C24" s="333">
        <v>0</v>
      </c>
      <c r="D24" s="333">
        <v>11.11</v>
      </c>
      <c r="E24" s="333">
        <v>148.26</v>
      </c>
      <c r="F24" s="334">
        <v>30129.919999999998</v>
      </c>
      <c r="G24" s="334">
        <f t="shared" si="0"/>
        <v>27010.820000000003</v>
      </c>
    </row>
    <row r="25" spans="1:7" customFormat="1" ht="15.6" customHeight="1" x14ac:dyDescent="0.2">
      <c r="A25" s="332" t="s">
        <v>980</v>
      </c>
      <c r="B25" s="333">
        <v>0</v>
      </c>
      <c r="C25" s="333">
        <v>0</v>
      </c>
      <c r="D25" s="333">
        <v>7.51</v>
      </c>
      <c r="E25" s="333">
        <v>107.83</v>
      </c>
      <c r="F25" s="334">
        <v>30129.919999999998</v>
      </c>
      <c r="G25" s="334">
        <f t="shared" si="0"/>
        <v>27118.650000000005</v>
      </c>
    </row>
    <row r="26" spans="1:7" customFormat="1" ht="15.6" customHeight="1" x14ac:dyDescent="0.2">
      <c r="A26" s="332" t="s">
        <v>981</v>
      </c>
      <c r="B26" s="333">
        <v>0</v>
      </c>
      <c r="C26" s="333">
        <v>0</v>
      </c>
      <c r="D26" s="333">
        <v>6.17</v>
      </c>
      <c r="E26" s="333">
        <v>79.44</v>
      </c>
      <c r="F26" s="334">
        <v>30129.919999999998</v>
      </c>
      <c r="G26" s="334">
        <f t="shared" si="0"/>
        <v>27198.090000000004</v>
      </c>
    </row>
    <row r="27" spans="1:7" ht="15" customHeight="1" x14ac:dyDescent="0.2">
      <c r="A27" s="522" t="s">
        <v>982</v>
      </c>
      <c r="B27" s="523"/>
      <c r="C27" s="523"/>
      <c r="D27" s="523"/>
      <c r="E27" s="523"/>
      <c r="F27" s="523"/>
      <c r="G27" s="523"/>
    </row>
    <row r="28" spans="1:7" customFormat="1" ht="12.6" customHeight="1" x14ac:dyDescent="0.2">
      <c r="A28" s="327" t="s">
        <v>983</v>
      </c>
      <c r="B28" s="328">
        <v>3.69</v>
      </c>
      <c r="C28" s="328">
        <v>28.38</v>
      </c>
      <c r="D28" s="328">
        <v>0.01</v>
      </c>
      <c r="E28" s="328">
        <v>22.4</v>
      </c>
      <c r="F28" s="328">
        <v>567.82000000000005</v>
      </c>
      <c r="G28" s="328">
        <v>318.81</v>
      </c>
    </row>
    <row r="29" spans="1:7" customFormat="1" ht="12.6" customHeight="1" x14ac:dyDescent="0.2">
      <c r="A29" s="327" t="s">
        <v>984</v>
      </c>
      <c r="B29" s="328">
        <v>4.5599999999999996</v>
      </c>
      <c r="C29" s="328">
        <v>36.799999999999997</v>
      </c>
      <c r="D29" s="328">
        <v>0</v>
      </c>
      <c r="E29" s="328">
        <v>0.02</v>
      </c>
      <c r="F29" s="328">
        <v>604.62</v>
      </c>
      <c r="G29" s="328">
        <v>318.83</v>
      </c>
    </row>
    <row r="30" spans="1:7" customFormat="1" ht="12.6" customHeight="1" x14ac:dyDescent="0.2">
      <c r="A30" s="327" t="s">
        <v>985</v>
      </c>
      <c r="B30" s="328">
        <v>5.0199999999999996</v>
      </c>
      <c r="C30" s="328">
        <v>28.28</v>
      </c>
      <c r="D30" s="328">
        <v>0</v>
      </c>
      <c r="E30" s="328">
        <v>0</v>
      </c>
      <c r="F30" s="328">
        <v>632.9</v>
      </c>
      <c r="G30" s="328">
        <v>318.83</v>
      </c>
    </row>
    <row r="31" spans="1:7" customFormat="1" ht="12.6" customHeight="1" x14ac:dyDescent="0.2">
      <c r="A31" s="327" t="s">
        <v>986</v>
      </c>
      <c r="B31" s="328">
        <v>3.6</v>
      </c>
      <c r="C31" s="328">
        <v>56.6</v>
      </c>
      <c r="D31" s="328">
        <v>0.7</v>
      </c>
      <c r="E31" s="328">
        <v>5.24</v>
      </c>
      <c r="F31" s="328">
        <v>689.51</v>
      </c>
      <c r="G31" s="328">
        <v>324.07</v>
      </c>
    </row>
    <row r="32" spans="1:7" customFormat="1" ht="12.6" customHeight="1" x14ac:dyDescent="0.2">
      <c r="A32" s="327" t="s">
        <v>987</v>
      </c>
      <c r="B32" s="328">
        <v>3.47</v>
      </c>
      <c r="C32" s="328">
        <v>35.29</v>
      </c>
      <c r="D32" s="328">
        <v>0.81</v>
      </c>
      <c r="E32" s="328">
        <v>9.18</v>
      </c>
      <c r="F32" s="328">
        <v>724.8</v>
      </c>
      <c r="G32" s="328">
        <v>333.25</v>
      </c>
    </row>
    <row r="33" spans="1:7" customFormat="1" ht="12.6" customHeight="1" x14ac:dyDescent="0.2">
      <c r="A33" s="327" t="s">
        <v>988</v>
      </c>
      <c r="B33" s="328">
        <v>3.1</v>
      </c>
      <c r="C33" s="328">
        <v>32.76</v>
      </c>
      <c r="D33" s="328">
        <v>0.81</v>
      </c>
      <c r="E33" s="328">
        <v>9.77</v>
      </c>
      <c r="F33" s="328">
        <v>757.55</v>
      </c>
      <c r="G33" s="328">
        <v>343.02</v>
      </c>
    </row>
    <row r="34" spans="1:7" customFormat="1" ht="12.6" customHeight="1" x14ac:dyDescent="0.2">
      <c r="A34" s="327" t="s">
        <v>989</v>
      </c>
      <c r="B34" s="328">
        <v>2.76</v>
      </c>
      <c r="C34" s="328">
        <v>29.2</v>
      </c>
      <c r="D34" s="328">
        <v>0.54</v>
      </c>
      <c r="E34" s="328">
        <v>8.08</v>
      </c>
      <c r="F34" s="328">
        <v>786.75</v>
      </c>
      <c r="G34" s="328">
        <v>351.1</v>
      </c>
    </row>
    <row r="35" spans="1:7" customFormat="1" ht="12.6" customHeight="1" x14ac:dyDescent="0.2">
      <c r="A35" s="327" t="s">
        <v>990</v>
      </c>
      <c r="B35" s="328">
        <v>2.46</v>
      </c>
      <c r="C35" s="328">
        <v>25.99</v>
      </c>
      <c r="D35" s="328">
        <v>0.65</v>
      </c>
      <c r="E35" s="328">
        <v>7.12</v>
      </c>
      <c r="F35" s="328">
        <v>812.74</v>
      </c>
      <c r="G35" s="328">
        <v>358.22</v>
      </c>
    </row>
    <row r="36" spans="1:7" customFormat="1" ht="12.6" customHeight="1" x14ac:dyDescent="0.2">
      <c r="A36" s="327" t="s">
        <v>991</v>
      </c>
      <c r="B36" s="328">
        <v>2.99</v>
      </c>
      <c r="C36" s="328">
        <v>27.16</v>
      </c>
      <c r="D36" s="328">
        <v>0.78</v>
      </c>
      <c r="E36" s="328">
        <v>8.5500000000000007</v>
      </c>
      <c r="F36" s="328">
        <v>839.91</v>
      </c>
      <c r="G36" s="328">
        <v>366.77</v>
      </c>
    </row>
    <row r="37" spans="1:7" customFormat="1" ht="12.6" customHeight="1" x14ac:dyDescent="0.2">
      <c r="A37" s="327" t="s">
        <v>992</v>
      </c>
      <c r="B37" s="328">
        <v>3.98</v>
      </c>
      <c r="C37" s="328">
        <v>34.79</v>
      </c>
      <c r="D37" s="328">
        <v>0.82</v>
      </c>
      <c r="E37" s="328">
        <v>9.56</v>
      </c>
      <c r="F37" s="328">
        <v>874.69</v>
      </c>
      <c r="G37" s="328">
        <v>376.33</v>
      </c>
    </row>
    <row r="38" spans="1:7" customFormat="1" ht="12.6" customHeight="1" x14ac:dyDescent="0.2">
      <c r="A38" s="327" t="s">
        <v>993</v>
      </c>
      <c r="B38" s="328">
        <v>13.9</v>
      </c>
      <c r="C38" s="328">
        <v>89.07</v>
      </c>
      <c r="D38" s="328">
        <v>0.14000000000000001</v>
      </c>
      <c r="E38" s="328">
        <v>5.78</v>
      </c>
      <c r="F38" s="328">
        <v>963.76</v>
      </c>
      <c r="G38" s="328">
        <v>382.11</v>
      </c>
    </row>
    <row r="39" spans="1:7" customFormat="1" ht="12.6" customHeight="1" x14ac:dyDescent="0.2">
      <c r="A39" s="327" t="s">
        <v>994</v>
      </c>
      <c r="B39" s="328">
        <v>11.69</v>
      </c>
      <c r="C39" s="328">
        <v>127.88</v>
      </c>
      <c r="D39" s="328">
        <v>0.72</v>
      </c>
      <c r="E39" s="328">
        <v>5.32</v>
      </c>
      <c r="F39" s="329">
        <v>1091.6400000000001</v>
      </c>
      <c r="G39" s="328">
        <v>387.44</v>
      </c>
    </row>
    <row r="40" spans="1:7" customFormat="1" ht="13.5" customHeight="1" x14ac:dyDescent="0.2">
      <c r="A40" s="327" t="s">
        <v>995</v>
      </c>
      <c r="B40" s="328">
        <v>4.96</v>
      </c>
      <c r="C40" s="328">
        <v>116.78</v>
      </c>
      <c r="D40" s="328">
        <v>1.85</v>
      </c>
      <c r="E40" s="328">
        <v>21.08</v>
      </c>
      <c r="F40" s="330">
        <f>SUM(C28:C40)</f>
        <v>668.98</v>
      </c>
      <c r="G40" s="331">
        <f>SUM(D28:D40)</f>
        <v>7.83</v>
      </c>
    </row>
    <row r="41" spans="1:7" customFormat="1" ht="15" customHeight="1" x14ac:dyDescent="0.2">
      <c r="A41" s="524" t="s">
        <v>996</v>
      </c>
      <c r="B41" s="525"/>
      <c r="C41" s="525"/>
      <c r="D41" s="525"/>
      <c r="E41" s="525"/>
      <c r="F41" s="525"/>
      <c r="G41" s="525"/>
    </row>
    <row r="42" spans="1:7" customFormat="1" ht="12.75" customHeight="1" x14ac:dyDescent="0.2">
      <c r="A42" s="327" t="s">
        <v>997</v>
      </c>
      <c r="B42" s="328">
        <v>1.9</v>
      </c>
      <c r="C42" s="328">
        <v>0</v>
      </c>
      <c r="D42" s="328">
        <v>0</v>
      </c>
      <c r="E42" s="328">
        <v>0</v>
      </c>
      <c r="F42" s="328">
        <v>0</v>
      </c>
      <c r="G42" s="328">
        <v>0</v>
      </c>
    </row>
    <row r="43" spans="1:7" customFormat="1" ht="12.6" customHeight="1" x14ac:dyDescent="0.2">
      <c r="A43" s="327" t="s">
        <v>998</v>
      </c>
      <c r="B43" s="328">
        <v>1.95</v>
      </c>
      <c r="C43" s="328">
        <v>19.25</v>
      </c>
      <c r="D43" s="328">
        <v>0</v>
      </c>
      <c r="E43" s="328">
        <v>0</v>
      </c>
      <c r="F43" s="328">
        <v>19.25</v>
      </c>
      <c r="G43" s="328">
        <v>0</v>
      </c>
    </row>
    <row r="44" spans="1:7" customFormat="1" ht="12.6" customHeight="1" x14ac:dyDescent="0.2">
      <c r="A44" s="327" t="s">
        <v>999</v>
      </c>
      <c r="B44" s="328">
        <v>1.85</v>
      </c>
      <c r="C44" s="328">
        <v>18.97</v>
      </c>
      <c r="D44" s="328">
        <v>0</v>
      </c>
      <c r="E44" s="328">
        <v>0</v>
      </c>
      <c r="F44" s="328">
        <v>38.229999999999997</v>
      </c>
      <c r="G44" s="328">
        <v>0</v>
      </c>
    </row>
    <row r="45" spans="1:7" customFormat="1" ht="12.6" customHeight="1" x14ac:dyDescent="0.2">
      <c r="A45" s="327" t="s">
        <v>1000</v>
      </c>
      <c r="B45" s="328">
        <v>2.06</v>
      </c>
      <c r="C45" s="328">
        <v>19.760000000000002</v>
      </c>
      <c r="D45" s="328">
        <v>0</v>
      </c>
      <c r="E45" s="328">
        <v>0</v>
      </c>
      <c r="F45" s="328">
        <v>57.98</v>
      </c>
      <c r="G45" s="328">
        <v>0</v>
      </c>
    </row>
    <row r="46" spans="1:7" customFormat="1" ht="12.6" customHeight="1" x14ac:dyDescent="0.2">
      <c r="A46" s="327" t="s">
        <v>1001</v>
      </c>
      <c r="B46" s="328">
        <v>1.51</v>
      </c>
      <c r="C46" s="328">
        <v>17.670000000000002</v>
      </c>
      <c r="D46" s="328">
        <v>0.3</v>
      </c>
      <c r="E46" s="328">
        <v>1.74</v>
      </c>
      <c r="F46" s="328">
        <v>75.650000000000006</v>
      </c>
      <c r="G46" s="328">
        <v>1.74</v>
      </c>
    </row>
    <row r="47" spans="1:7" customFormat="1" ht="12.6" customHeight="1" x14ac:dyDescent="0.2">
      <c r="A47" s="327" t="s">
        <v>1002</v>
      </c>
      <c r="B47" s="328">
        <v>1.22</v>
      </c>
      <c r="C47" s="328">
        <v>13.65</v>
      </c>
      <c r="D47" s="328">
        <v>0.88</v>
      </c>
      <c r="E47" s="328">
        <v>6.86</v>
      </c>
      <c r="F47" s="328">
        <v>89.3</v>
      </c>
      <c r="G47" s="328">
        <v>8.6</v>
      </c>
    </row>
    <row r="48" spans="1:7" customFormat="1" ht="12.6" customHeight="1" x14ac:dyDescent="0.2">
      <c r="A48" s="327" t="s">
        <v>1003</v>
      </c>
      <c r="B48" s="328">
        <v>1</v>
      </c>
      <c r="C48" s="328">
        <v>11.1</v>
      </c>
      <c r="D48" s="328">
        <v>1.46</v>
      </c>
      <c r="E48" s="328">
        <v>13.62</v>
      </c>
      <c r="F48" s="328">
        <v>100.4</v>
      </c>
      <c r="G48" s="328">
        <v>22.22</v>
      </c>
    </row>
    <row r="49" spans="1:7" customFormat="1" ht="12.6" customHeight="1" x14ac:dyDescent="0.2">
      <c r="A49" s="327" t="s">
        <v>1004</v>
      </c>
      <c r="B49" s="328">
        <v>0.91</v>
      </c>
      <c r="C49" s="328">
        <v>9.5399999999999991</v>
      </c>
      <c r="D49" s="328">
        <v>0.36</v>
      </c>
      <c r="E49" s="328">
        <v>10.46</v>
      </c>
      <c r="F49" s="328">
        <v>109.94</v>
      </c>
      <c r="G49" s="328">
        <v>32.68</v>
      </c>
    </row>
    <row r="50" spans="1:7" customFormat="1" ht="13.5" customHeight="1" x14ac:dyDescent="0.2">
      <c r="A50" s="327" t="s">
        <v>1005</v>
      </c>
      <c r="B50" s="328">
        <v>0.46</v>
      </c>
      <c r="C50" s="328">
        <v>4.25</v>
      </c>
      <c r="D50" s="328">
        <v>0</v>
      </c>
      <c r="E50" s="328">
        <v>1.3</v>
      </c>
      <c r="F50" s="331">
        <v>114.19</v>
      </c>
      <c r="G50" s="331">
        <v>33.97</v>
      </c>
    </row>
    <row r="51" spans="1:7" customFormat="1" ht="15" customHeight="1" x14ac:dyDescent="0.2">
      <c r="A51" s="524" t="s">
        <v>1006</v>
      </c>
      <c r="B51" s="525"/>
      <c r="C51" s="525"/>
      <c r="D51" s="525"/>
      <c r="E51" s="525"/>
      <c r="F51" s="525"/>
      <c r="G51" s="525"/>
    </row>
    <row r="52" spans="1:7" customFormat="1" ht="12.75" customHeight="1" x14ac:dyDescent="0.2">
      <c r="A52" s="327" t="s">
        <v>997</v>
      </c>
      <c r="B52" s="328">
        <v>1.78</v>
      </c>
      <c r="C52" s="328">
        <v>0</v>
      </c>
      <c r="D52" s="328">
        <v>0</v>
      </c>
      <c r="E52" s="328">
        <v>0</v>
      </c>
      <c r="F52" s="328">
        <v>0</v>
      </c>
      <c r="G52" s="328">
        <v>0</v>
      </c>
    </row>
    <row r="53" spans="1:7" customFormat="1" ht="12.6" customHeight="1" x14ac:dyDescent="0.2">
      <c r="A53" s="327" t="s">
        <v>998</v>
      </c>
      <c r="B53" s="328">
        <v>1.82</v>
      </c>
      <c r="C53" s="328">
        <v>17.920000000000002</v>
      </c>
      <c r="D53" s="328">
        <v>0</v>
      </c>
      <c r="E53" s="328">
        <v>0</v>
      </c>
      <c r="F53" s="328">
        <v>17.920000000000002</v>
      </c>
      <c r="G53" s="328">
        <v>0</v>
      </c>
    </row>
    <row r="54" spans="1:7" customFormat="1" ht="12.6" customHeight="1" x14ac:dyDescent="0.2">
      <c r="A54" s="327" t="s">
        <v>999</v>
      </c>
      <c r="B54" s="328">
        <v>1.8</v>
      </c>
      <c r="C54" s="328">
        <v>18.059999999999999</v>
      </c>
      <c r="D54" s="328">
        <v>0</v>
      </c>
      <c r="E54" s="328">
        <v>0</v>
      </c>
      <c r="F54" s="328">
        <v>35.979999999999997</v>
      </c>
      <c r="G54" s="328">
        <v>0</v>
      </c>
    </row>
    <row r="55" spans="1:7" customFormat="1" ht="12.6" customHeight="1" x14ac:dyDescent="0.2">
      <c r="A55" s="327" t="s">
        <v>1007</v>
      </c>
      <c r="B55" s="328">
        <v>1.94</v>
      </c>
      <c r="C55" s="328">
        <v>18.7</v>
      </c>
      <c r="D55" s="328">
        <v>0</v>
      </c>
      <c r="E55" s="328">
        <v>0</v>
      </c>
      <c r="F55" s="328">
        <v>54.68</v>
      </c>
      <c r="G55" s="328">
        <v>0</v>
      </c>
    </row>
    <row r="56" spans="1:7" customFormat="1" ht="12.6" customHeight="1" x14ac:dyDescent="0.2">
      <c r="A56" s="327" t="s">
        <v>1001</v>
      </c>
      <c r="B56" s="328">
        <v>0.93</v>
      </c>
      <c r="C56" s="328">
        <v>14.37</v>
      </c>
      <c r="D56" s="328">
        <v>0.44</v>
      </c>
      <c r="E56" s="328">
        <v>2.57</v>
      </c>
      <c r="F56" s="328">
        <v>69.05</v>
      </c>
      <c r="G56" s="328">
        <v>2.57</v>
      </c>
    </row>
    <row r="57" spans="1:7" customFormat="1" ht="12.6" customHeight="1" x14ac:dyDescent="0.2">
      <c r="A57" s="327" t="s">
        <v>1002</v>
      </c>
      <c r="B57" s="328">
        <v>0.98</v>
      </c>
      <c r="C57" s="328">
        <v>9.58</v>
      </c>
      <c r="D57" s="328">
        <v>1.27</v>
      </c>
      <c r="E57" s="328">
        <v>10.050000000000001</v>
      </c>
      <c r="F57" s="328">
        <v>78.63</v>
      </c>
      <c r="G57" s="328">
        <v>12.62</v>
      </c>
    </row>
    <row r="58" spans="1:7" customFormat="1" ht="13.35" customHeight="1" x14ac:dyDescent="0.2">
      <c r="A58" s="327" t="s">
        <v>1003</v>
      </c>
      <c r="B58" s="328">
        <v>1.1399999999999999</v>
      </c>
      <c r="C58" s="328">
        <v>10.59</v>
      </c>
      <c r="D58" s="328">
        <v>2.5</v>
      </c>
      <c r="E58" s="328">
        <v>22.38</v>
      </c>
      <c r="F58" s="328">
        <v>89.22</v>
      </c>
      <c r="G58" s="328">
        <v>35</v>
      </c>
    </row>
    <row r="59" spans="1:7" customFormat="1" ht="12.6" customHeight="1" x14ac:dyDescent="0.2">
      <c r="A59" s="327" t="s">
        <v>1004</v>
      </c>
      <c r="B59" s="328">
        <v>1.47</v>
      </c>
      <c r="C59" s="328">
        <v>13.01</v>
      </c>
      <c r="D59" s="328">
        <v>0.18</v>
      </c>
      <c r="E59" s="328">
        <v>15.92</v>
      </c>
      <c r="F59" s="328">
        <v>102.23</v>
      </c>
      <c r="G59" s="328">
        <v>50.92</v>
      </c>
    </row>
    <row r="60" spans="1:7" customFormat="1" ht="13.5" customHeight="1" x14ac:dyDescent="0.2">
      <c r="A60" s="327" t="s">
        <v>1008</v>
      </c>
      <c r="B60" s="328">
        <v>0.94</v>
      </c>
      <c r="C60" s="328">
        <v>5.86</v>
      </c>
      <c r="D60" s="328">
        <v>0</v>
      </c>
      <c r="E60" s="328">
        <v>0.49</v>
      </c>
      <c r="F60" s="331">
        <v>108.09</v>
      </c>
      <c r="G60" s="331">
        <v>51.41</v>
      </c>
    </row>
    <row r="61" spans="1:7" customFormat="1" ht="15" customHeight="1" x14ac:dyDescent="0.2">
      <c r="A61" s="524" t="s">
        <v>1009</v>
      </c>
      <c r="B61" s="525"/>
      <c r="C61" s="525"/>
      <c r="D61" s="525"/>
      <c r="E61" s="525"/>
      <c r="F61" s="525"/>
      <c r="G61" s="525"/>
    </row>
    <row r="62" spans="1:7" customFormat="1" ht="12.75" customHeight="1" x14ac:dyDescent="0.2">
      <c r="A62" s="327" t="s">
        <v>997</v>
      </c>
      <c r="B62" s="328">
        <v>0.92</v>
      </c>
      <c r="C62" s="328">
        <v>0</v>
      </c>
      <c r="D62" s="328">
        <v>0</v>
      </c>
      <c r="E62" s="328">
        <v>0</v>
      </c>
      <c r="F62" s="328">
        <v>0</v>
      </c>
      <c r="G62" s="328">
        <v>0</v>
      </c>
    </row>
    <row r="63" spans="1:7" customFormat="1" ht="12.6" customHeight="1" x14ac:dyDescent="0.2">
      <c r="A63" s="327" t="s">
        <v>1010</v>
      </c>
      <c r="B63" s="328">
        <v>1.78</v>
      </c>
      <c r="C63" s="328">
        <v>8.31</v>
      </c>
      <c r="D63" s="328">
        <v>0.32</v>
      </c>
      <c r="E63" s="328">
        <v>1.1399999999999999</v>
      </c>
      <c r="F63" s="328">
        <v>8.31</v>
      </c>
      <c r="G63" s="328">
        <v>1.1399999999999999</v>
      </c>
    </row>
    <row r="64" spans="1:7" customFormat="1" ht="12.6" customHeight="1" x14ac:dyDescent="0.2">
      <c r="A64" s="327" t="s">
        <v>998</v>
      </c>
      <c r="B64" s="328">
        <v>1.74</v>
      </c>
      <c r="C64" s="328">
        <v>6.74</v>
      </c>
      <c r="D64" s="328">
        <v>1.92</v>
      </c>
      <c r="E64" s="328">
        <v>4.9400000000000004</v>
      </c>
      <c r="F64" s="328">
        <v>15.06</v>
      </c>
      <c r="G64" s="328">
        <v>6.08</v>
      </c>
    </row>
    <row r="65" spans="1:7" customFormat="1" ht="12.6" customHeight="1" x14ac:dyDescent="0.2">
      <c r="A65" s="327" t="s">
        <v>999</v>
      </c>
      <c r="B65" s="328">
        <v>1.86</v>
      </c>
      <c r="C65" s="328">
        <v>17.989999999999998</v>
      </c>
      <c r="D65" s="328">
        <v>1.02</v>
      </c>
      <c r="E65" s="328">
        <v>17.18</v>
      </c>
      <c r="F65" s="328">
        <v>33.049999999999997</v>
      </c>
      <c r="G65" s="328">
        <v>23.26</v>
      </c>
    </row>
    <row r="66" spans="1:7" customFormat="1" ht="12.6" customHeight="1" x14ac:dyDescent="0.2">
      <c r="A66" s="327" t="s">
        <v>1007</v>
      </c>
      <c r="B66" s="328">
        <v>2.1</v>
      </c>
      <c r="C66" s="328">
        <v>19.79</v>
      </c>
      <c r="D66" s="328">
        <v>0.37</v>
      </c>
      <c r="E66" s="328">
        <v>8.11</v>
      </c>
      <c r="F66" s="328">
        <v>52.83</v>
      </c>
      <c r="G66" s="328">
        <v>31.37</v>
      </c>
    </row>
    <row r="67" spans="1:7" customFormat="1" ht="12.6" customHeight="1" x14ac:dyDescent="0.2">
      <c r="A67" s="327" t="s">
        <v>1001</v>
      </c>
      <c r="B67" s="328">
        <v>1.75</v>
      </c>
      <c r="C67" s="328">
        <v>19.22</v>
      </c>
      <c r="D67" s="328">
        <v>0.09</v>
      </c>
      <c r="E67" s="328">
        <v>2.67</v>
      </c>
      <c r="F67" s="328">
        <v>72.05</v>
      </c>
      <c r="G67" s="328">
        <v>34.04</v>
      </c>
    </row>
    <row r="68" spans="1:7" customFormat="1" ht="12.6" customHeight="1" x14ac:dyDescent="0.2">
      <c r="A68" s="327" t="s">
        <v>1011</v>
      </c>
      <c r="B68" s="328">
        <v>1.61</v>
      </c>
      <c r="C68" s="328">
        <v>6.1</v>
      </c>
      <c r="D68" s="328">
        <v>0</v>
      </c>
      <c r="E68" s="328">
        <v>0.18</v>
      </c>
      <c r="F68" s="328">
        <v>78.150000000000006</v>
      </c>
      <c r="G68" s="328">
        <v>34.229999999999997</v>
      </c>
    </row>
    <row r="69" spans="1:7" customFormat="1" ht="12.6" customHeight="1" x14ac:dyDescent="0.2">
      <c r="A69" s="327" t="s">
        <v>1003</v>
      </c>
      <c r="B69" s="328">
        <v>1.75</v>
      </c>
      <c r="C69" s="328">
        <v>27.5</v>
      </c>
      <c r="D69" s="328">
        <v>0</v>
      </c>
      <c r="E69" s="328">
        <v>0</v>
      </c>
      <c r="F69" s="328">
        <v>105.65</v>
      </c>
      <c r="G69" s="328">
        <v>34.229999999999997</v>
      </c>
    </row>
    <row r="70" spans="1:7" customFormat="1" ht="13.5" customHeight="1" x14ac:dyDescent="0.2">
      <c r="A70" s="327" t="s">
        <v>1012</v>
      </c>
      <c r="B70" s="328">
        <v>1.84</v>
      </c>
      <c r="C70" s="328">
        <v>24.55</v>
      </c>
      <c r="D70" s="328">
        <v>0</v>
      </c>
      <c r="E70" s="328">
        <v>0</v>
      </c>
      <c r="F70" s="331">
        <v>130.19999999999999</v>
      </c>
      <c r="G70" s="331">
        <v>34.229999999999997</v>
      </c>
    </row>
    <row r="71" spans="1:7" customFormat="1" ht="15" customHeight="1" x14ac:dyDescent="0.2">
      <c r="A71" s="524" t="s">
        <v>1013</v>
      </c>
      <c r="B71" s="525"/>
      <c r="C71" s="525"/>
      <c r="D71" s="525"/>
      <c r="E71" s="525"/>
      <c r="F71" s="525"/>
      <c r="G71" s="525"/>
    </row>
    <row r="72" spans="1:7" customFormat="1" ht="12.75" customHeight="1" x14ac:dyDescent="0.2">
      <c r="A72" s="327" t="s">
        <v>997</v>
      </c>
      <c r="B72" s="328">
        <v>0</v>
      </c>
      <c r="C72" s="328">
        <v>0</v>
      </c>
      <c r="D72" s="328">
        <v>1.08</v>
      </c>
      <c r="E72" s="328">
        <v>0</v>
      </c>
      <c r="F72" s="328">
        <v>0</v>
      </c>
      <c r="G72" s="328">
        <v>0</v>
      </c>
    </row>
    <row r="73" spans="1:7" customFormat="1" ht="12.6" customHeight="1" x14ac:dyDescent="0.2">
      <c r="A73" s="327" t="s">
        <v>1014</v>
      </c>
      <c r="B73" s="328">
        <v>0</v>
      </c>
      <c r="C73" s="328">
        <v>0</v>
      </c>
      <c r="D73" s="328">
        <v>6.06</v>
      </c>
      <c r="E73" s="328">
        <v>23.73</v>
      </c>
      <c r="F73" s="328">
        <v>0</v>
      </c>
      <c r="G73" s="328">
        <v>23.73</v>
      </c>
    </row>
    <row r="74" spans="1:7" customFormat="1" ht="12.6" customHeight="1" x14ac:dyDescent="0.2">
      <c r="A74" s="327" t="s">
        <v>998</v>
      </c>
      <c r="B74" s="328">
        <v>0</v>
      </c>
      <c r="C74" s="328">
        <v>0</v>
      </c>
      <c r="D74" s="328">
        <v>11.96</v>
      </c>
      <c r="E74" s="328">
        <v>44.28</v>
      </c>
      <c r="F74" s="328">
        <v>0</v>
      </c>
      <c r="G74" s="328">
        <v>68.010000000000005</v>
      </c>
    </row>
    <row r="75" spans="1:7" customFormat="1" ht="12.6" customHeight="1" x14ac:dyDescent="0.2">
      <c r="A75" s="327" t="s">
        <v>999</v>
      </c>
      <c r="B75" s="328">
        <v>0</v>
      </c>
      <c r="C75" s="328">
        <v>0</v>
      </c>
      <c r="D75" s="328">
        <v>6.83</v>
      </c>
      <c r="E75" s="328">
        <v>109.34</v>
      </c>
      <c r="F75" s="328">
        <v>0</v>
      </c>
      <c r="G75" s="328">
        <v>177.35</v>
      </c>
    </row>
    <row r="76" spans="1:7" customFormat="1" ht="12.6" customHeight="1" x14ac:dyDescent="0.2">
      <c r="A76" s="327" t="s">
        <v>1007</v>
      </c>
      <c r="B76" s="328">
        <v>0.4</v>
      </c>
      <c r="C76" s="328">
        <v>2.0099999999999998</v>
      </c>
      <c r="D76" s="328">
        <v>2.91</v>
      </c>
      <c r="E76" s="328">
        <v>55.77</v>
      </c>
      <c r="F76" s="328">
        <v>2.0099999999999998</v>
      </c>
      <c r="G76" s="328">
        <v>233.12</v>
      </c>
    </row>
    <row r="77" spans="1:7" customFormat="1" ht="12.6" customHeight="1" x14ac:dyDescent="0.2">
      <c r="A77" s="327" t="s">
        <v>1001</v>
      </c>
      <c r="B77" s="328">
        <v>1.24</v>
      </c>
      <c r="C77" s="328">
        <v>8.24</v>
      </c>
      <c r="D77" s="328">
        <v>0.39</v>
      </c>
      <c r="E77" s="328">
        <v>18.66</v>
      </c>
      <c r="F77" s="328">
        <v>10.25</v>
      </c>
      <c r="G77" s="328">
        <v>251.78</v>
      </c>
    </row>
    <row r="78" spans="1:7" customFormat="1" ht="12.6" customHeight="1" x14ac:dyDescent="0.2">
      <c r="A78" s="327" t="s">
        <v>1002</v>
      </c>
      <c r="B78" s="328">
        <v>1.85</v>
      </c>
      <c r="C78" s="328">
        <v>15.45</v>
      </c>
      <c r="D78" s="328">
        <v>0</v>
      </c>
      <c r="E78" s="328">
        <v>2.21</v>
      </c>
      <c r="F78" s="328">
        <v>25.7</v>
      </c>
      <c r="G78" s="328">
        <v>253.98</v>
      </c>
    </row>
    <row r="79" spans="1:7" customFormat="1" ht="12.6" customHeight="1" x14ac:dyDescent="0.2">
      <c r="A79" s="327" t="s">
        <v>1003</v>
      </c>
      <c r="B79" s="328">
        <v>1.98</v>
      </c>
      <c r="C79" s="328">
        <v>19.079999999999998</v>
      </c>
      <c r="D79" s="328">
        <v>0</v>
      </c>
      <c r="E79" s="328">
        <v>0</v>
      </c>
      <c r="F79" s="328">
        <v>44.78</v>
      </c>
      <c r="G79" s="328">
        <v>253.98</v>
      </c>
    </row>
    <row r="80" spans="1:7" customFormat="1" ht="12.6" customHeight="1" x14ac:dyDescent="0.2">
      <c r="A80" s="327" t="s">
        <v>1015</v>
      </c>
      <c r="B80" s="328">
        <v>1.95</v>
      </c>
      <c r="C80" s="328">
        <v>10.02</v>
      </c>
      <c r="D80" s="328">
        <v>0</v>
      </c>
      <c r="E80" s="328">
        <v>0</v>
      </c>
      <c r="F80" s="328">
        <v>54.8</v>
      </c>
      <c r="G80" s="328">
        <v>253.98</v>
      </c>
    </row>
    <row r="81" spans="1:7" customFormat="1" ht="13.5" customHeight="1" x14ac:dyDescent="0.2">
      <c r="A81" s="327" t="s">
        <v>1016</v>
      </c>
      <c r="B81" s="328">
        <v>1.98</v>
      </c>
      <c r="C81" s="328">
        <v>14.26</v>
      </c>
      <c r="D81" s="328">
        <v>0</v>
      </c>
      <c r="E81" s="328">
        <v>0</v>
      </c>
      <c r="F81" s="331">
        <v>69.06</v>
      </c>
      <c r="G81" s="331">
        <v>253.98</v>
      </c>
    </row>
    <row r="82" spans="1:7" customFormat="1" ht="15" customHeight="1" x14ac:dyDescent="0.2">
      <c r="A82" s="524" t="s">
        <v>1017</v>
      </c>
      <c r="B82" s="525"/>
      <c r="C82" s="525"/>
      <c r="D82" s="525"/>
      <c r="E82" s="525"/>
      <c r="F82" s="525"/>
      <c r="G82" s="525"/>
    </row>
    <row r="83" spans="1:7" customFormat="1" ht="12.75" customHeight="1" x14ac:dyDescent="0.2">
      <c r="A83" s="327" t="s">
        <v>997</v>
      </c>
      <c r="B83" s="328">
        <v>0.36</v>
      </c>
      <c r="C83" s="328">
        <v>0</v>
      </c>
      <c r="D83" s="328">
        <v>0</v>
      </c>
      <c r="E83" s="328">
        <v>0</v>
      </c>
      <c r="F83" s="328">
        <v>0</v>
      </c>
      <c r="G83" s="328">
        <v>0</v>
      </c>
    </row>
    <row r="84" spans="1:7" customFormat="1" ht="12.6" customHeight="1" x14ac:dyDescent="0.2">
      <c r="A84" s="327" t="s">
        <v>998</v>
      </c>
      <c r="B84" s="328">
        <v>0.81</v>
      </c>
      <c r="C84" s="328">
        <v>5.69</v>
      </c>
      <c r="D84" s="328">
        <v>0.28000000000000003</v>
      </c>
      <c r="E84" s="328">
        <v>1.81</v>
      </c>
      <c r="F84" s="328">
        <v>5.69</v>
      </c>
      <c r="G84" s="328">
        <v>1.81</v>
      </c>
    </row>
    <row r="85" spans="1:7" customFormat="1" ht="12.6" customHeight="1" x14ac:dyDescent="0.2">
      <c r="A85" s="327" t="s">
        <v>1018</v>
      </c>
      <c r="B85" s="328">
        <v>1.21</v>
      </c>
      <c r="C85" s="328">
        <v>4.97</v>
      </c>
      <c r="D85" s="328">
        <v>1.24</v>
      </c>
      <c r="E85" s="328">
        <v>5.22</v>
      </c>
      <c r="F85" s="328">
        <v>10.66</v>
      </c>
      <c r="G85" s="328">
        <v>7.03</v>
      </c>
    </row>
    <row r="86" spans="1:7" customFormat="1" ht="12.6" customHeight="1" x14ac:dyDescent="0.2">
      <c r="A86" s="327" t="s">
        <v>999</v>
      </c>
      <c r="B86" s="328">
        <v>1.5</v>
      </c>
      <c r="C86" s="328">
        <v>6.7</v>
      </c>
      <c r="D86" s="328">
        <v>0.31</v>
      </c>
      <c r="E86" s="328">
        <v>5.34</v>
      </c>
      <c r="F86" s="328">
        <v>17.36</v>
      </c>
      <c r="G86" s="328">
        <v>12.37</v>
      </c>
    </row>
    <row r="87" spans="1:7" customFormat="1" ht="13.5" customHeight="1" x14ac:dyDescent="0.2">
      <c r="A87" s="327" t="s">
        <v>1019</v>
      </c>
      <c r="B87" s="328">
        <v>1.03</v>
      </c>
      <c r="C87" s="328">
        <v>10.1</v>
      </c>
      <c r="D87" s="328">
        <v>0</v>
      </c>
      <c r="E87" s="328">
        <v>1.71</v>
      </c>
      <c r="F87" s="331">
        <v>27.45</v>
      </c>
      <c r="G87" s="331">
        <v>14.08</v>
      </c>
    </row>
    <row r="88" spans="1:7" customFormat="1" ht="15" customHeight="1" x14ac:dyDescent="0.2">
      <c r="A88" s="524" t="s">
        <v>1020</v>
      </c>
      <c r="B88" s="525"/>
      <c r="C88" s="525"/>
      <c r="D88" s="525"/>
      <c r="E88" s="525"/>
      <c r="F88" s="525"/>
      <c r="G88" s="525"/>
    </row>
    <row r="89" spans="1:7" customFormat="1" ht="12.75" customHeight="1" x14ac:dyDescent="0.2">
      <c r="A89" s="327" t="s">
        <v>997</v>
      </c>
      <c r="B89" s="328">
        <v>11.52</v>
      </c>
      <c r="C89" s="328">
        <v>0</v>
      </c>
      <c r="D89" s="328">
        <v>0</v>
      </c>
      <c r="E89" s="328">
        <v>0</v>
      </c>
      <c r="F89" s="328">
        <v>0</v>
      </c>
      <c r="G89" s="328">
        <v>0</v>
      </c>
    </row>
    <row r="90" spans="1:7" customFormat="1" ht="12.6" customHeight="1" x14ac:dyDescent="0.2">
      <c r="A90" s="327" t="s">
        <v>998</v>
      </c>
      <c r="B90" s="328">
        <v>1.17</v>
      </c>
      <c r="C90" s="328">
        <v>58.58</v>
      </c>
      <c r="D90" s="328">
        <v>0.33</v>
      </c>
      <c r="E90" s="328">
        <v>2.02</v>
      </c>
      <c r="F90" s="328">
        <v>58.58</v>
      </c>
      <c r="G90" s="328">
        <v>2.02</v>
      </c>
    </row>
    <row r="91" spans="1:7" customFormat="1" ht="12.6" customHeight="1" x14ac:dyDescent="0.2">
      <c r="A91" s="327" t="s">
        <v>1018</v>
      </c>
      <c r="B91" s="328">
        <v>1.82</v>
      </c>
      <c r="C91" s="328">
        <v>7.42</v>
      </c>
      <c r="D91" s="328">
        <v>1.64</v>
      </c>
      <c r="E91" s="328">
        <v>6.45</v>
      </c>
      <c r="F91" s="328">
        <v>65.989999999999995</v>
      </c>
      <c r="G91" s="328">
        <v>8.4700000000000006</v>
      </c>
    </row>
    <row r="92" spans="1:7" customFormat="1" ht="12.6" customHeight="1" x14ac:dyDescent="0.2">
      <c r="A92" s="327" t="s">
        <v>999</v>
      </c>
      <c r="B92" s="328">
        <v>2.15</v>
      </c>
      <c r="C92" s="328">
        <v>9.85</v>
      </c>
      <c r="D92" s="328">
        <v>0.7</v>
      </c>
      <c r="E92" s="328">
        <v>7.68</v>
      </c>
      <c r="F92" s="328">
        <v>75.84</v>
      </c>
      <c r="G92" s="328">
        <v>16.149999999999999</v>
      </c>
    </row>
    <row r="93" spans="1:7" customFormat="1" ht="12.6" customHeight="1" x14ac:dyDescent="0.2">
      <c r="A93" s="327" t="s">
        <v>1007</v>
      </c>
      <c r="B93" s="328">
        <v>2.54</v>
      </c>
      <c r="C93" s="328">
        <v>23.46</v>
      </c>
      <c r="D93" s="328">
        <v>0</v>
      </c>
      <c r="E93" s="328">
        <v>4.51</v>
      </c>
      <c r="F93" s="328">
        <v>99.31</v>
      </c>
      <c r="G93" s="328">
        <v>20.66</v>
      </c>
    </row>
    <row r="94" spans="1:7" customFormat="1" ht="12.6" customHeight="1" x14ac:dyDescent="0.2">
      <c r="A94" s="327" t="s">
        <v>1001</v>
      </c>
      <c r="B94" s="328">
        <v>1.7</v>
      </c>
      <c r="C94" s="328">
        <v>21.14</v>
      </c>
      <c r="D94" s="328">
        <v>0</v>
      </c>
      <c r="E94" s="328">
        <v>0</v>
      </c>
      <c r="F94" s="328">
        <v>120.45</v>
      </c>
      <c r="G94" s="328">
        <v>20.66</v>
      </c>
    </row>
    <row r="95" spans="1:7" customFormat="1" ht="13.5" customHeight="1" x14ac:dyDescent="0.2">
      <c r="A95" s="327" t="s">
        <v>1021</v>
      </c>
      <c r="B95" s="328">
        <v>1.33</v>
      </c>
      <c r="C95" s="328">
        <v>7.79</v>
      </c>
      <c r="D95" s="328">
        <v>0</v>
      </c>
      <c r="E95" s="328">
        <v>0</v>
      </c>
      <c r="F95" s="331">
        <v>128.22999999999999</v>
      </c>
      <c r="G95" s="331">
        <v>20.66</v>
      </c>
    </row>
    <row r="98" spans="1:4" customFormat="1" ht="17.25" customHeight="1" x14ac:dyDescent="0.2">
      <c r="A98" s="517" t="s">
        <v>1022</v>
      </c>
      <c r="B98" s="518"/>
      <c r="C98" s="518"/>
      <c r="D98" s="519"/>
    </row>
    <row r="99" spans="1:4" customFormat="1" ht="27" customHeight="1" x14ac:dyDescent="0.2">
      <c r="A99" s="311" t="s">
        <v>1023</v>
      </c>
      <c r="B99" s="312" t="s">
        <v>1024</v>
      </c>
      <c r="C99" s="313" t="s">
        <v>1025</v>
      </c>
      <c r="D99" s="313"/>
    </row>
    <row r="100" spans="1:4" customFormat="1" ht="13.5" customHeight="1" x14ac:dyDescent="0.2">
      <c r="A100" s="314" t="s">
        <v>1026</v>
      </c>
      <c r="B100" s="315">
        <f>F26-F4</f>
        <v>796.81999999999971</v>
      </c>
      <c r="C100" s="315">
        <f>G26-G4</f>
        <v>2593.2100000000028</v>
      </c>
      <c r="D100" s="315"/>
    </row>
    <row r="101" spans="1:4" customFormat="1" ht="13.5" customHeight="1" x14ac:dyDescent="0.2">
      <c r="A101" s="314" t="s">
        <v>1027</v>
      </c>
      <c r="B101" s="315">
        <f>F40</f>
        <v>668.98</v>
      </c>
      <c r="C101" s="316">
        <f>G40</f>
        <v>7.83</v>
      </c>
      <c r="D101" s="316"/>
    </row>
    <row r="102" spans="1:4" customFormat="1" ht="13.5" customHeight="1" x14ac:dyDescent="0.2">
      <c r="A102" s="314" t="s">
        <v>1028</v>
      </c>
      <c r="B102" s="316">
        <f>F50</f>
        <v>114.19</v>
      </c>
      <c r="C102" s="316">
        <f>G50</f>
        <v>33.97</v>
      </c>
      <c r="D102" s="316"/>
    </row>
    <row r="103" spans="1:4" customFormat="1" ht="13.5" customHeight="1" x14ac:dyDescent="0.2">
      <c r="A103" s="314" t="s">
        <v>1029</v>
      </c>
      <c r="B103" s="316">
        <f>F60</f>
        <v>108.09</v>
      </c>
      <c r="C103" s="316">
        <f>G60*1.15</f>
        <v>59.12149999999999</v>
      </c>
      <c r="D103" s="316"/>
    </row>
    <row r="104" spans="1:4" customFormat="1" ht="13.5" customHeight="1" x14ac:dyDescent="0.2">
      <c r="A104" s="314" t="s">
        <v>1030</v>
      </c>
      <c r="B104" s="316">
        <f>F70</f>
        <v>130.19999999999999</v>
      </c>
      <c r="C104" s="316">
        <f>G70</f>
        <v>34.229999999999997</v>
      </c>
      <c r="D104" s="316"/>
    </row>
    <row r="105" spans="1:4" customFormat="1" ht="13.5" customHeight="1" x14ac:dyDescent="0.2">
      <c r="A105" s="314" t="s">
        <v>1031</v>
      </c>
      <c r="B105" s="316">
        <f>F81</f>
        <v>69.06</v>
      </c>
      <c r="C105" s="316">
        <f>G81</f>
        <v>253.98</v>
      </c>
      <c r="D105" s="316"/>
    </row>
    <row r="106" spans="1:4" customFormat="1" ht="13.5" customHeight="1" x14ac:dyDescent="0.2">
      <c r="A106" s="314" t="s">
        <v>1032</v>
      </c>
      <c r="B106" s="316">
        <f>F87</f>
        <v>27.45</v>
      </c>
      <c r="C106" s="316">
        <f>G87</f>
        <v>14.08</v>
      </c>
      <c r="D106" s="316"/>
    </row>
    <row r="107" spans="1:4" customFormat="1" ht="13.5" customHeight="1" x14ac:dyDescent="0.2">
      <c r="A107" s="314" t="s">
        <v>1033</v>
      </c>
      <c r="B107" s="316">
        <f>F95</f>
        <v>128.22999999999999</v>
      </c>
      <c r="C107" s="316">
        <f>G95</f>
        <v>20.66</v>
      </c>
      <c r="D107" s="316"/>
    </row>
    <row r="108" spans="1:4" customFormat="1" ht="13.5" customHeight="1" x14ac:dyDescent="0.2">
      <c r="A108" s="314" t="s">
        <v>1034</v>
      </c>
      <c r="B108" s="315"/>
      <c r="C108" s="315"/>
      <c r="D108" s="316"/>
    </row>
    <row r="109" spans="1:4" customFormat="1" ht="15.75" customHeight="1" x14ac:dyDescent="0.2">
      <c r="A109" s="317" t="s">
        <v>1035</v>
      </c>
      <c r="B109" s="318">
        <f>SUM(B100:B108)</f>
        <v>2043.0199999999998</v>
      </c>
      <c r="C109" s="318">
        <f>SUM(C100:C108)</f>
        <v>3017.0815000000025</v>
      </c>
      <c r="D109" s="319"/>
    </row>
  </sheetData>
  <mergeCells count="10">
    <mergeCell ref="A98:D98"/>
    <mergeCell ref="A1:G1"/>
    <mergeCell ref="A27:G27"/>
    <mergeCell ref="A41:G41"/>
    <mergeCell ref="A51:G51"/>
    <mergeCell ref="A61:G61"/>
    <mergeCell ref="A71:G71"/>
    <mergeCell ref="A82:G82"/>
    <mergeCell ref="A88:G88"/>
    <mergeCell ref="A3:G3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7D49-93B6-4263-B2C8-0ECB172C875B}">
  <dimension ref="A1:M21"/>
  <sheetViews>
    <sheetView view="pageBreakPreview" zoomScale="85" zoomScaleNormal="80" zoomScaleSheetLayoutView="85" workbookViewId="0">
      <selection activeCell="E17" sqref="E17"/>
    </sheetView>
  </sheetViews>
  <sheetFormatPr defaultColWidth="9.33203125" defaultRowHeight="12.75" x14ac:dyDescent="0.2"/>
  <cols>
    <col min="1" max="1" width="14.1640625" style="106" customWidth="1"/>
    <col min="2" max="2" width="70.33203125" style="106" customWidth="1"/>
    <col min="3" max="3" width="22.5" style="107" bestFit="1" customWidth="1"/>
    <col min="4" max="4" width="23" style="106" customWidth="1"/>
    <col min="5" max="5" width="22" style="106" customWidth="1"/>
    <col min="6" max="6" width="15.33203125" style="106" bestFit="1" customWidth="1"/>
    <col min="7" max="16384" width="9.33203125" style="106"/>
  </cols>
  <sheetData>
    <row r="1" spans="1:13" ht="12.75" customHeight="1" x14ac:dyDescent="0.2">
      <c r="A1" s="528" t="s">
        <v>0</v>
      </c>
      <c r="B1" s="528"/>
      <c r="C1" s="528"/>
      <c r="D1" s="527"/>
      <c r="E1" s="19"/>
      <c r="F1" s="19"/>
      <c r="G1" s="19"/>
      <c r="H1" s="19"/>
      <c r="I1" s="13"/>
      <c r="J1" s="11"/>
      <c r="K1" s="11"/>
      <c r="L1" s="11"/>
      <c r="M1" s="11"/>
    </row>
    <row r="2" spans="1:13" x14ac:dyDescent="0.2">
      <c r="A2" s="528"/>
      <c r="B2" s="528"/>
      <c r="C2" s="528"/>
      <c r="D2" s="527"/>
      <c r="E2" s="19"/>
      <c r="F2" s="19"/>
      <c r="G2" s="19"/>
      <c r="H2" s="19"/>
      <c r="I2" s="13"/>
      <c r="J2" s="11"/>
      <c r="K2" s="11"/>
      <c r="L2" s="11"/>
      <c r="M2" s="11"/>
    </row>
    <row r="3" spans="1:13" x14ac:dyDescent="0.2">
      <c r="A3" s="528"/>
      <c r="B3" s="528"/>
      <c r="C3" s="528"/>
      <c r="D3" s="527"/>
      <c r="E3" s="24"/>
      <c r="F3" s="24"/>
      <c r="G3" s="24"/>
      <c r="H3" s="24"/>
      <c r="I3" s="13"/>
      <c r="J3" s="11"/>
      <c r="K3" s="11"/>
      <c r="L3" s="11"/>
      <c r="M3" s="11"/>
    </row>
    <row r="4" spans="1:13" ht="29.25" customHeight="1" x14ac:dyDescent="0.2">
      <c r="A4" s="528" t="s">
        <v>1</v>
      </c>
      <c r="B4" s="528"/>
      <c r="C4" s="528"/>
      <c r="D4" s="527"/>
      <c r="E4" s="19"/>
      <c r="F4" s="19"/>
      <c r="G4" s="19"/>
      <c r="H4" s="19"/>
      <c r="I4" s="19"/>
      <c r="J4" s="11"/>
      <c r="K4" s="11"/>
      <c r="L4" s="11"/>
      <c r="M4" s="11"/>
    </row>
    <row r="5" spans="1:13" ht="15.75" x14ac:dyDescent="0.2">
      <c r="A5" s="529" t="s">
        <v>1036</v>
      </c>
      <c r="B5" s="529"/>
      <c r="C5" s="529"/>
      <c r="D5" s="529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15.75" customHeight="1" x14ac:dyDescent="0.2">
      <c r="A6" s="110" t="s">
        <v>8</v>
      </c>
      <c r="B6" s="111" t="s">
        <v>9</v>
      </c>
      <c r="C6" s="353" t="s">
        <v>24</v>
      </c>
      <c r="D6" s="353">
        <f>'RESUMO - BM 15 CT'!D8</f>
        <v>15</v>
      </c>
      <c r="E6" s="362"/>
      <c r="F6" s="13"/>
      <c r="G6" s="13"/>
      <c r="H6" s="13"/>
      <c r="I6" s="14"/>
      <c r="J6" s="11"/>
      <c r="K6" s="11"/>
      <c r="L6" s="11"/>
      <c r="M6" s="14"/>
    </row>
    <row r="7" spans="1:13" ht="21" customHeight="1" x14ac:dyDescent="0.2">
      <c r="A7" s="110" t="s">
        <v>5</v>
      </c>
      <c r="B7" s="110" t="s">
        <v>25</v>
      </c>
      <c r="C7" s="112" t="s">
        <v>26</v>
      </c>
      <c r="D7" s="113" t="str">
        <f>'PLANILHA - BM 15 CT'!F9</f>
        <v>08/05/25 à 31/05/25</v>
      </c>
      <c r="E7" s="109"/>
      <c r="F7" s="109"/>
      <c r="G7" s="109"/>
      <c r="H7" s="109"/>
      <c r="I7" s="109"/>
      <c r="J7" s="109"/>
      <c r="K7" s="109"/>
      <c r="L7" s="109"/>
      <c r="M7" s="109"/>
    </row>
    <row r="10" spans="1:13" ht="15" x14ac:dyDescent="0.2">
      <c r="B10" s="114" t="s">
        <v>1037</v>
      </c>
      <c r="C10" s="115">
        <v>2983569.29</v>
      </c>
    </row>
    <row r="11" spans="1:13" ht="15" x14ac:dyDescent="0.2">
      <c r="B11" s="116" t="s">
        <v>1038</v>
      </c>
      <c r="C11" s="115">
        <v>9304636.8000000007</v>
      </c>
    </row>
    <row r="12" spans="1:13" ht="15" x14ac:dyDescent="0.2">
      <c r="B12" s="116" t="s">
        <v>1039</v>
      </c>
      <c r="C12" s="117">
        <v>12288206.09</v>
      </c>
    </row>
    <row r="13" spans="1:13" ht="15" x14ac:dyDescent="0.2">
      <c r="B13" s="118" t="s">
        <v>1040</v>
      </c>
      <c r="C13" s="119">
        <v>240284.78999999998</v>
      </c>
    </row>
    <row r="14" spans="1:13" ht="15" x14ac:dyDescent="0.2">
      <c r="B14" s="118" t="s">
        <v>1041</v>
      </c>
      <c r="C14" s="119">
        <f>C12-C13</f>
        <v>12047921.300000001</v>
      </c>
    </row>
    <row r="15" spans="1:13" ht="15" x14ac:dyDescent="0.2">
      <c r="B15" s="120" t="s">
        <v>1042</v>
      </c>
      <c r="C15" s="121">
        <f>C13/C14</f>
        <v>1.9944086952161613E-2</v>
      </c>
      <c r="F15" s="324">
        <f>SUM('RESUMO - BM 15 CT'!F14:F20)+'RESUMO - BM 15 CT'!F22</f>
        <v>8720070.0699999984</v>
      </c>
    </row>
    <row r="16" spans="1:13" ht="15" x14ac:dyDescent="0.2">
      <c r="B16" s="122"/>
      <c r="C16" s="123"/>
      <c r="F16" s="106">
        <f>F15/C14</f>
        <v>0.72378212414119913</v>
      </c>
    </row>
    <row r="17" spans="2:5" ht="15" x14ac:dyDescent="0.2">
      <c r="B17" s="526" t="s">
        <v>1043</v>
      </c>
      <c r="C17" s="526"/>
    </row>
    <row r="18" spans="2:5" ht="15" x14ac:dyDescent="0.2">
      <c r="B18" s="120" t="s">
        <v>1044</v>
      </c>
      <c r="C18" s="119">
        <f>F15</f>
        <v>8720070.0699999984</v>
      </c>
      <c r="D18" s="124"/>
    </row>
    <row r="19" spans="2:5" ht="15" x14ac:dyDescent="0.2">
      <c r="B19" s="118" t="s">
        <v>1045</v>
      </c>
      <c r="C19" s="161">
        <f>C18/C14</f>
        <v>0.72378212414119913</v>
      </c>
      <c r="D19" s="124"/>
      <c r="E19" s="323">
        <f>ROUND(C21,3)</f>
        <v>0.11</v>
      </c>
    </row>
    <row r="20" spans="2:5" ht="15" x14ac:dyDescent="0.2">
      <c r="B20" s="118" t="s">
        <v>1046</v>
      </c>
      <c r="C20" s="161">
        <f>'PLANILHA - BM 15 CT'!F193</f>
        <v>0.61341676485888086</v>
      </c>
      <c r="E20" s="107"/>
    </row>
    <row r="21" spans="2:5" ht="15" x14ac:dyDescent="0.2">
      <c r="B21" s="118" t="s">
        <v>1047</v>
      </c>
      <c r="C21" s="161">
        <f>C19-C20</f>
        <v>0.11036535928231828</v>
      </c>
    </row>
  </sheetData>
  <mergeCells count="5">
    <mergeCell ref="B17:C17"/>
    <mergeCell ref="D1:D4"/>
    <mergeCell ref="A1:C3"/>
    <mergeCell ref="A4:C4"/>
    <mergeCell ref="A5:D5"/>
  </mergeCells>
  <pageMargins left="0.511811024" right="0.511811024" top="0.78740157499999996" bottom="0.78740157499999996" header="0.31496062000000002" footer="0.31496062000000002"/>
  <pageSetup paperSize="9" scale="73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7C47-EBFD-436E-B490-1F7F1968B3EC}">
  <sheetPr>
    <pageSetUpPr fitToPage="1"/>
  </sheetPr>
  <dimension ref="A1:Y38"/>
  <sheetViews>
    <sheetView showGridLines="0" view="pageBreakPreview" zoomScale="85" zoomScaleNormal="100" zoomScaleSheetLayoutView="85" workbookViewId="0">
      <selection activeCell="G21" sqref="G21"/>
    </sheetView>
  </sheetViews>
  <sheetFormatPr defaultColWidth="9" defaultRowHeight="12" x14ac:dyDescent="0.2"/>
  <cols>
    <col min="1" max="1" width="15.33203125" style="574" customWidth="1"/>
    <col min="2" max="2" width="18.33203125" style="661" customWidth="1"/>
    <col min="3" max="3" width="99" style="574" customWidth="1"/>
    <col min="4" max="4" width="6.6640625" style="662" customWidth="1"/>
    <col min="5" max="5" width="16.1640625" style="663" customWidth="1"/>
    <col min="6" max="6" width="22" style="663" customWidth="1"/>
    <col min="7" max="7" width="16" style="663" customWidth="1"/>
    <col min="8" max="8" width="19.83203125" style="663" customWidth="1"/>
    <col min="9" max="9" width="13.6640625" style="663" customWidth="1"/>
    <col min="10" max="10" width="13.33203125" style="664" customWidth="1"/>
    <col min="11" max="11" width="19.6640625" style="574" customWidth="1"/>
    <col min="12" max="12" width="20.83203125" style="664" customWidth="1"/>
    <col min="13" max="13" width="17.1640625" style="664" customWidth="1"/>
    <col min="14" max="14" width="21.1640625" style="664" customWidth="1"/>
    <col min="15" max="15" width="18.83203125" style="664" customWidth="1"/>
    <col min="16" max="16" width="16.5" style="662" customWidth="1"/>
    <col min="17" max="20" width="20.1640625" style="664" hidden="1" customWidth="1"/>
    <col min="21" max="21" width="27.1640625" style="574" hidden="1" customWidth="1"/>
    <col min="22" max="22" width="19.1640625" style="573" hidden="1" customWidth="1"/>
    <col min="23" max="23" width="16.6640625" style="574" hidden="1" customWidth="1"/>
    <col min="24" max="24" width="14" style="575" customWidth="1"/>
    <col min="25" max="25" width="53.33203125" style="574" customWidth="1"/>
    <col min="26" max="16384" width="9" style="574"/>
  </cols>
  <sheetData>
    <row r="1" spans="1:24" s="189" customFormat="1" ht="16.5" thickBot="1" x14ac:dyDescent="0.25">
      <c r="A1" s="530" t="s">
        <v>23</v>
      </c>
      <c r="B1" s="531"/>
      <c r="C1" s="531"/>
      <c r="D1" s="531"/>
      <c r="E1" s="532"/>
      <c r="F1" s="532"/>
      <c r="G1" s="531"/>
      <c r="H1" s="531"/>
      <c r="I1" s="531"/>
      <c r="J1" s="531"/>
      <c r="K1" s="531"/>
      <c r="L1" s="531"/>
      <c r="M1" s="531"/>
      <c r="N1" s="531"/>
      <c r="O1" s="531"/>
      <c r="P1" s="533"/>
      <c r="Q1" s="534"/>
      <c r="R1" s="534"/>
      <c r="S1" s="534"/>
      <c r="T1" s="534"/>
      <c r="V1" s="535"/>
      <c r="X1" s="536"/>
    </row>
    <row r="2" spans="1:24" s="189" customFormat="1" ht="12.75" x14ac:dyDescent="0.2">
      <c r="A2" s="537" t="s">
        <v>1051</v>
      </c>
      <c r="B2" s="538"/>
      <c r="C2" s="538"/>
      <c r="D2" s="538"/>
      <c r="E2" s="539" t="s">
        <v>4</v>
      </c>
      <c r="F2" s="539" t="s">
        <v>1052</v>
      </c>
      <c r="G2" s="540"/>
      <c r="H2" s="540"/>
      <c r="I2" s="540"/>
      <c r="J2" s="540"/>
      <c r="K2" s="540"/>
      <c r="L2" s="540"/>
      <c r="M2" s="540"/>
      <c r="N2" s="540"/>
      <c r="O2" s="540"/>
      <c r="P2" s="541"/>
      <c r="Q2" s="540"/>
      <c r="R2" s="540"/>
      <c r="S2" s="540"/>
      <c r="T2" s="540"/>
      <c r="V2" s="535"/>
      <c r="X2" s="536"/>
    </row>
    <row r="3" spans="1:24" s="189" customFormat="1" ht="38.25" x14ac:dyDescent="0.2">
      <c r="A3" s="542" t="s">
        <v>1053</v>
      </c>
      <c r="B3" s="543"/>
      <c r="C3" s="543"/>
      <c r="D3" s="543"/>
      <c r="E3" s="544" t="s">
        <v>1054</v>
      </c>
      <c r="F3" s="545" t="s">
        <v>1055</v>
      </c>
      <c r="G3" s="546"/>
      <c r="H3" s="546"/>
      <c r="I3" s="546"/>
      <c r="J3" s="547"/>
      <c r="K3" s="548"/>
      <c r="L3" s="547"/>
      <c r="M3" s="547"/>
      <c r="N3" s="547"/>
      <c r="O3" s="547"/>
      <c r="P3" s="549"/>
      <c r="Q3" s="547"/>
      <c r="R3" s="547"/>
      <c r="S3" s="547"/>
      <c r="T3" s="547"/>
      <c r="V3" s="535"/>
      <c r="X3" s="536"/>
    </row>
    <row r="4" spans="1:24" s="189" customFormat="1" ht="12.75" x14ac:dyDescent="0.2">
      <c r="A4" s="542" t="s">
        <v>1056</v>
      </c>
      <c r="B4" s="543"/>
      <c r="C4" s="543"/>
      <c r="D4" s="543"/>
      <c r="E4" s="544"/>
      <c r="F4" s="544"/>
      <c r="G4" s="546"/>
      <c r="H4" s="546"/>
      <c r="I4" s="546"/>
      <c r="J4" s="547"/>
      <c r="K4" s="548"/>
      <c r="L4" s="547"/>
      <c r="M4" s="547"/>
      <c r="N4" s="547"/>
      <c r="O4" s="547"/>
      <c r="P4" s="549"/>
      <c r="Q4" s="547"/>
      <c r="R4" s="547"/>
      <c r="S4" s="547"/>
      <c r="T4" s="547"/>
      <c r="V4" s="535"/>
      <c r="X4" s="536"/>
    </row>
    <row r="5" spans="1:24" s="189" customFormat="1" ht="13.5" thickBot="1" x14ac:dyDescent="0.25">
      <c r="A5" s="550" t="s">
        <v>1057</v>
      </c>
      <c r="B5" s="551"/>
      <c r="C5" s="551"/>
      <c r="D5" s="551"/>
      <c r="E5" s="544"/>
      <c r="F5" s="544"/>
      <c r="G5" s="546"/>
      <c r="H5" s="546"/>
      <c r="I5" s="546"/>
      <c r="J5" s="552"/>
      <c r="K5" s="548"/>
      <c r="L5" s="552"/>
      <c r="M5" s="552"/>
      <c r="N5" s="552"/>
      <c r="O5" s="552"/>
      <c r="P5" s="553"/>
      <c r="Q5" s="552"/>
      <c r="R5" s="552"/>
      <c r="S5" s="552"/>
      <c r="T5" s="552"/>
      <c r="V5" s="535"/>
      <c r="X5" s="536"/>
    </row>
    <row r="6" spans="1:24" s="189" customFormat="1" ht="15" customHeight="1" x14ac:dyDescent="0.2">
      <c r="A6" s="554" t="s">
        <v>12</v>
      </c>
      <c r="B6" s="555" t="s">
        <v>27</v>
      </c>
      <c r="C6" s="555" t="s">
        <v>13</v>
      </c>
      <c r="D6" s="555" t="s">
        <v>28</v>
      </c>
      <c r="E6" s="556" t="s">
        <v>14</v>
      </c>
      <c r="F6" s="557" t="s">
        <v>1058</v>
      </c>
      <c r="G6" s="558"/>
      <c r="H6" s="558"/>
      <c r="I6" s="558"/>
      <c r="J6" s="559" t="s">
        <v>542</v>
      </c>
      <c r="K6" s="558" t="s">
        <v>1059</v>
      </c>
      <c r="L6" s="558"/>
      <c r="M6" s="558"/>
      <c r="N6" s="558"/>
      <c r="O6" s="558"/>
      <c r="P6" s="560" t="s">
        <v>1060</v>
      </c>
      <c r="Q6" s="561"/>
      <c r="R6" s="561"/>
      <c r="S6" s="561"/>
      <c r="T6" s="561"/>
      <c r="V6" s="562"/>
      <c r="W6" s="562"/>
      <c r="X6" s="536"/>
    </row>
    <row r="7" spans="1:24" ht="49.5" customHeight="1" thickBot="1" x14ac:dyDescent="0.25">
      <c r="A7" s="563"/>
      <c r="B7" s="564"/>
      <c r="C7" s="564"/>
      <c r="D7" s="564"/>
      <c r="E7" s="565"/>
      <c r="F7" s="566" t="s">
        <v>544</v>
      </c>
      <c r="G7" s="567" t="s">
        <v>545</v>
      </c>
      <c r="H7" s="567" t="s">
        <v>546</v>
      </c>
      <c r="I7" s="567" t="s">
        <v>547</v>
      </c>
      <c r="J7" s="568"/>
      <c r="K7" s="569" t="s">
        <v>14</v>
      </c>
      <c r="L7" s="570" t="s">
        <v>544</v>
      </c>
      <c r="M7" s="570" t="s">
        <v>545</v>
      </c>
      <c r="N7" s="570" t="s">
        <v>546</v>
      </c>
      <c r="O7" s="570" t="s">
        <v>547</v>
      </c>
      <c r="P7" s="571"/>
      <c r="Q7" s="561"/>
      <c r="R7" s="561"/>
      <c r="S7" s="561"/>
      <c r="T7" s="561"/>
      <c r="U7" s="572"/>
    </row>
    <row r="8" spans="1:24" ht="17.25" customHeight="1" x14ac:dyDescent="0.2">
      <c r="A8" s="576"/>
      <c r="B8" s="577"/>
      <c r="C8" s="578"/>
      <c r="D8" s="578"/>
      <c r="E8" s="579"/>
      <c r="F8" s="579"/>
      <c r="G8" s="579"/>
      <c r="H8" s="579"/>
      <c r="I8" s="579"/>
      <c r="J8" s="580"/>
      <c r="K8" s="581">
        <f>K33</f>
        <v>1482380.6754720078</v>
      </c>
      <c r="L8" s="581">
        <f t="shared" ref="L8:O8" si="0">L33</f>
        <v>1289789.5515393957</v>
      </c>
      <c r="M8" s="581">
        <f t="shared" si="0"/>
        <v>60191.689681635857</v>
      </c>
      <c r="N8" s="581">
        <f t="shared" si="0"/>
        <v>1349981.2412210316</v>
      </c>
      <c r="O8" s="581">
        <f t="shared" si="0"/>
        <v>132399.43425097654</v>
      </c>
      <c r="P8" s="582">
        <f>M8/K8</f>
        <v>4.0604745243639995E-2</v>
      </c>
      <c r="Q8" s="583"/>
      <c r="R8" s="583"/>
      <c r="S8" s="583"/>
      <c r="T8" s="583"/>
      <c r="U8" s="572"/>
    </row>
    <row r="9" spans="1:24" s="152" customFormat="1" ht="12.75" x14ac:dyDescent="0.2">
      <c r="A9" s="584" t="s">
        <v>139</v>
      </c>
      <c r="B9" s="585"/>
      <c r="C9" s="586" t="s">
        <v>140</v>
      </c>
      <c r="D9" s="587"/>
      <c r="E9" s="588"/>
      <c r="F9" s="588"/>
      <c r="G9" s="588"/>
      <c r="H9" s="588"/>
      <c r="I9" s="588"/>
      <c r="J9" s="589"/>
      <c r="K9" s="590">
        <f>K10+K22</f>
        <v>1372455.9954720079</v>
      </c>
      <c r="L9" s="590">
        <f t="shared" ref="L9:O9" si="1">L10+L22</f>
        <v>1263276.9518008477</v>
      </c>
      <c r="M9" s="590">
        <f t="shared" si="1"/>
        <v>60191.689681635857</v>
      </c>
      <c r="N9" s="590">
        <f t="shared" si="1"/>
        <v>1323468.6414824836</v>
      </c>
      <c r="O9" s="590">
        <f t="shared" si="1"/>
        <v>48987.353989524541</v>
      </c>
      <c r="P9" s="591">
        <f>M9/K9</f>
        <v>4.3856917730127329E-2</v>
      </c>
      <c r="Q9" s="592"/>
      <c r="R9" s="592"/>
      <c r="S9" s="592"/>
      <c r="T9" s="592"/>
      <c r="U9" s="593"/>
      <c r="V9" s="594"/>
      <c r="W9" s="595"/>
      <c r="X9" s="596"/>
    </row>
    <row r="10" spans="1:24" s="152" customFormat="1" ht="12.75" x14ac:dyDescent="0.2">
      <c r="A10" s="597" t="s">
        <v>141</v>
      </c>
      <c r="B10" s="598"/>
      <c r="C10" s="599" t="s">
        <v>140</v>
      </c>
      <c r="D10" s="600"/>
      <c r="E10" s="601"/>
      <c r="F10" s="601"/>
      <c r="G10" s="601"/>
      <c r="H10" s="601"/>
      <c r="I10" s="601"/>
      <c r="J10" s="602"/>
      <c r="K10" s="603">
        <f t="shared" ref="K10:O10" si="2">K11</f>
        <v>1128255.315472008</v>
      </c>
      <c r="L10" s="603">
        <f t="shared" si="2"/>
        <v>1042839.9260008476</v>
      </c>
      <c r="M10" s="603">
        <f t="shared" si="2"/>
        <v>43627.945281635861</v>
      </c>
      <c r="N10" s="603">
        <f t="shared" si="2"/>
        <v>1086467.8712824837</v>
      </c>
      <c r="O10" s="603">
        <f t="shared" si="2"/>
        <v>41787.444189524489</v>
      </c>
      <c r="P10" s="604">
        <f>M10/K10</f>
        <v>3.8668504090657904E-2</v>
      </c>
      <c r="Q10" s="605"/>
      <c r="R10" s="605"/>
      <c r="S10" s="605"/>
      <c r="T10" s="605"/>
      <c r="U10" s="593"/>
      <c r="V10" s="594"/>
      <c r="W10" s="595"/>
      <c r="X10" s="596"/>
    </row>
    <row r="11" spans="1:24" s="152" customFormat="1" ht="12.75" x14ac:dyDescent="0.2">
      <c r="A11" s="606" t="s">
        <v>142</v>
      </c>
      <c r="B11" s="607"/>
      <c r="C11" s="608" t="s">
        <v>143</v>
      </c>
      <c r="D11" s="609"/>
      <c r="E11" s="610"/>
      <c r="F11" s="610"/>
      <c r="G11" s="610"/>
      <c r="H11" s="610"/>
      <c r="I11" s="610"/>
      <c r="J11" s="611"/>
      <c r="K11" s="612">
        <f>SUM(K12:K21)</f>
        <v>1128255.315472008</v>
      </c>
      <c r="L11" s="612">
        <f t="shared" ref="L11:O11" si="3">SUM(L12:L21)</f>
        <v>1042839.9260008476</v>
      </c>
      <c r="M11" s="612">
        <f t="shared" si="3"/>
        <v>43627.945281635861</v>
      </c>
      <c r="N11" s="612">
        <f t="shared" si="3"/>
        <v>1086467.8712824837</v>
      </c>
      <c r="O11" s="612">
        <f t="shared" si="3"/>
        <v>41787.444189524489</v>
      </c>
      <c r="P11" s="613">
        <f>M11/K11</f>
        <v>3.8668504090657904E-2</v>
      </c>
      <c r="Q11" s="614"/>
      <c r="R11" s="614"/>
      <c r="S11" s="614"/>
      <c r="T11" s="614"/>
      <c r="U11" s="593"/>
      <c r="V11" s="594"/>
      <c r="W11" s="595"/>
      <c r="X11" s="596"/>
    </row>
    <row r="12" spans="1:24" s="628" customFormat="1" ht="28.5" customHeight="1" x14ac:dyDescent="0.2">
      <c r="A12" s="615" t="s">
        <v>1061</v>
      </c>
      <c r="B12" s="616" t="s">
        <v>72</v>
      </c>
      <c r="C12" s="617" t="s">
        <v>73</v>
      </c>
      <c r="D12" s="616" t="s">
        <v>43</v>
      </c>
      <c r="E12" s="618">
        <v>25600</v>
      </c>
      <c r="F12" s="618">
        <v>25600</v>
      </c>
      <c r="G12" s="618"/>
      <c r="H12" s="618">
        <f>F12+G12</f>
        <v>25600</v>
      </c>
      <c r="I12" s="618">
        <f>E12-H12</f>
        <v>0</v>
      </c>
      <c r="J12" s="619">
        <v>3.74</v>
      </c>
      <c r="K12" s="620">
        <f t="shared" ref="K12:K18" si="4">ROUND(E12*$J12,2)</f>
        <v>95744</v>
      </c>
      <c r="L12" s="621">
        <f>F12*J12</f>
        <v>95744</v>
      </c>
      <c r="M12" s="622">
        <f>G12*J12</f>
        <v>0</v>
      </c>
      <c r="N12" s="622">
        <f>H12*J12</f>
        <v>95744</v>
      </c>
      <c r="O12" s="622">
        <f>K12-N12</f>
        <v>0</v>
      </c>
      <c r="P12" s="623">
        <f>M12/K12</f>
        <v>0</v>
      </c>
      <c r="Q12" s="624">
        <f>G12*J12</f>
        <v>0</v>
      </c>
      <c r="R12" s="624">
        <f>M12-Q12</f>
        <v>0</v>
      </c>
      <c r="S12" s="624">
        <f>K12-Q12</f>
        <v>95744</v>
      </c>
      <c r="T12" s="624">
        <f>S12-O12</f>
        <v>95744</v>
      </c>
      <c r="U12" s="625"/>
      <c r="V12" s="626"/>
      <c r="W12" s="625"/>
      <c r="X12" s="627">
        <f>N12/K12</f>
        <v>1</v>
      </c>
    </row>
    <row r="13" spans="1:24" s="632" customFormat="1" ht="27.75" customHeight="1" x14ac:dyDescent="0.2">
      <c r="A13" s="615" t="s">
        <v>1062</v>
      </c>
      <c r="B13" s="616" t="s">
        <v>1063</v>
      </c>
      <c r="C13" s="617" t="s">
        <v>1064</v>
      </c>
      <c r="D13" s="616" t="s">
        <v>43</v>
      </c>
      <c r="E13" s="618">
        <v>16000</v>
      </c>
      <c r="F13" s="618">
        <v>16000</v>
      </c>
      <c r="G13" s="618"/>
      <c r="H13" s="618">
        <f t="shared" ref="H13:H21" si="5">F13+G13</f>
        <v>16000</v>
      </c>
      <c r="I13" s="618">
        <f t="shared" ref="I13:I21" si="6">E13-H13</f>
        <v>0</v>
      </c>
      <c r="J13" s="619">
        <v>0.54816400100000007</v>
      </c>
      <c r="K13" s="620">
        <f t="shared" si="4"/>
        <v>8770.6200000000008</v>
      </c>
      <c r="L13" s="621">
        <f t="shared" ref="L13:L21" si="7">F13*J13</f>
        <v>8770.6240160000016</v>
      </c>
      <c r="M13" s="622">
        <f t="shared" ref="M13:M21" si="8">G13*J13</f>
        <v>0</v>
      </c>
      <c r="N13" s="622">
        <f t="shared" ref="N13:N21" si="9">H13*J13</f>
        <v>8770.6240160000016</v>
      </c>
      <c r="O13" s="622">
        <f t="shared" ref="O13:O21" si="10">K13-N13</f>
        <v>-4.0160000007745111E-3</v>
      </c>
      <c r="P13" s="623">
        <f t="shared" ref="P13:P29" si="11">M13/K13</f>
        <v>0</v>
      </c>
      <c r="Q13" s="624">
        <f t="shared" ref="Q13:Q32" si="12">G13*J13</f>
        <v>0</v>
      </c>
      <c r="R13" s="624">
        <f t="shared" ref="R13:R32" si="13">M13-Q13</f>
        <v>0</v>
      </c>
      <c r="S13" s="624">
        <f t="shared" ref="S13:S32" si="14">K13-Q13</f>
        <v>8770.6200000000008</v>
      </c>
      <c r="T13" s="624">
        <f t="shared" ref="T13:T32" si="15">S13-O13</f>
        <v>8770.6240160000016</v>
      </c>
      <c r="U13" s="629"/>
      <c r="V13" s="630"/>
      <c r="W13" s="631"/>
      <c r="X13" s="627">
        <f t="shared" ref="X13:X32" si="16">N13/K13</f>
        <v>1.0000004578923727</v>
      </c>
    </row>
    <row r="14" spans="1:24" s="632" customFormat="1" ht="12.75" x14ac:dyDescent="0.2">
      <c r="A14" s="615" t="s">
        <v>1065</v>
      </c>
      <c r="B14" s="633" t="s">
        <v>1066</v>
      </c>
      <c r="C14" s="634" t="s">
        <v>1067</v>
      </c>
      <c r="D14" s="633" t="s">
        <v>1068</v>
      </c>
      <c r="E14" s="618">
        <v>58</v>
      </c>
      <c r="F14" s="618">
        <v>58</v>
      </c>
      <c r="G14" s="618"/>
      <c r="H14" s="618">
        <f t="shared" si="5"/>
        <v>58</v>
      </c>
      <c r="I14" s="618">
        <f t="shared" si="6"/>
        <v>0</v>
      </c>
      <c r="J14" s="619">
        <v>38.630612143200004</v>
      </c>
      <c r="K14" s="620">
        <f t="shared" si="4"/>
        <v>2240.58</v>
      </c>
      <c r="L14" s="621">
        <f t="shared" si="7"/>
        <v>2240.5755043056001</v>
      </c>
      <c r="M14" s="622">
        <f t="shared" si="8"/>
        <v>0</v>
      </c>
      <c r="N14" s="622">
        <f t="shared" si="9"/>
        <v>2240.5755043056001</v>
      </c>
      <c r="O14" s="622">
        <f t="shared" si="10"/>
        <v>4.4956943997931376E-3</v>
      </c>
      <c r="P14" s="623">
        <f t="shared" si="11"/>
        <v>0</v>
      </c>
      <c r="Q14" s="624">
        <f t="shared" si="12"/>
        <v>0</v>
      </c>
      <c r="R14" s="624">
        <f t="shared" si="13"/>
        <v>0</v>
      </c>
      <c r="S14" s="624">
        <f t="shared" si="14"/>
        <v>2240.58</v>
      </c>
      <c r="T14" s="624">
        <f t="shared" si="15"/>
        <v>2240.5755043056001</v>
      </c>
      <c r="U14" s="629"/>
      <c r="V14" s="630"/>
      <c r="W14" s="631"/>
      <c r="X14" s="627">
        <f t="shared" si="16"/>
        <v>0.99999799351310825</v>
      </c>
    </row>
    <row r="15" spans="1:24" s="632" customFormat="1" ht="25.5" x14ac:dyDescent="0.2">
      <c r="A15" s="615" t="s">
        <v>1069</v>
      </c>
      <c r="B15" s="633" t="s">
        <v>1070</v>
      </c>
      <c r="C15" s="634" t="s">
        <v>1071</v>
      </c>
      <c r="D15" s="633" t="s">
        <v>77</v>
      </c>
      <c r="E15" s="618">
        <v>2565</v>
      </c>
      <c r="F15" s="618">
        <v>2526</v>
      </c>
      <c r="G15" s="618"/>
      <c r="H15" s="618">
        <f t="shared" si="5"/>
        <v>2526</v>
      </c>
      <c r="I15" s="618">
        <f t="shared" si="6"/>
        <v>39</v>
      </c>
      <c r="J15" s="619">
        <v>20.471433782800002</v>
      </c>
      <c r="K15" s="620">
        <f t="shared" si="4"/>
        <v>52509.23</v>
      </c>
      <c r="L15" s="621">
        <f t="shared" si="7"/>
        <v>51710.841735352806</v>
      </c>
      <c r="M15" s="622">
        <f t="shared" si="8"/>
        <v>0</v>
      </c>
      <c r="N15" s="622">
        <f t="shared" si="9"/>
        <v>51710.841735352806</v>
      </c>
      <c r="O15" s="622">
        <f t="shared" si="10"/>
        <v>798.3882646471975</v>
      </c>
      <c r="P15" s="623">
        <f t="shared" si="11"/>
        <v>0</v>
      </c>
      <c r="Q15" s="624">
        <f t="shared" si="12"/>
        <v>0</v>
      </c>
      <c r="R15" s="624">
        <f t="shared" si="13"/>
        <v>0</v>
      </c>
      <c r="S15" s="624">
        <f t="shared" si="14"/>
        <v>52509.23</v>
      </c>
      <c r="T15" s="624">
        <f t="shared" si="15"/>
        <v>51710.841735352806</v>
      </c>
      <c r="U15" s="629"/>
      <c r="V15" s="630"/>
      <c r="W15" s="631"/>
      <c r="X15" s="627">
        <f t="shared" si="16"/>
        <v>0.98479527761791219</v>
      </c>
    </row>
    <row r="16" spans="1:24" s="632" customFormat="1" ht="42" customHeight="1" x14ac:dyDescent="0.2">
      <c r="A16" s="615" t="s">
        <v>1072</v>
      </c>
      <c r="B16" s="633" t="s">
        <v>1073</v>
      </c>
      <c r="C16" s="635" t="s">
        <v>1074</v>
      </c>
      <c r="D16" s="633" t="s">
        <v>77</v>
      </c>
      <c r="E16" s="618">
        <v>18775</v>
      </c>
      <c r="F16" s="618">
        <v>17383.219999999998</v>
      </c>
      <c r="G16" s="618"/>
      <c r="H16" s="618">
        <f t="shared" si="5"/>
        <v>17383.219999999998</v>
      </c>
      <c r="I16" s="618">
        <f t="shared" si="6"/>
        <v>1391.7800000000025</v>
      </c>
      <c r="J16" s="619">
        <v>8.1626603058000011</v>
      </c>
      <c r="K16" s="620">
        <f t="shared" si="4"/>
        <v>153253.95000000001</v>
      </c>
      <c r="L16" s="621">
        <f t="shared" si="7"/>
        <v>141893.31988098868</v>
      </c>
      <c r="M16" s="622">
        <f t="shared" si="8"/>
        <v>0</v>
      </c>
      <c r="N16" s="622">
        <f t="shared" si="9"/>
        <v>141893.31988098868</v>
      </c>
      <c r="O16" s="622">
        <f t="shared" si="10"/>
        <v>11360.63011901133</v>
      </c>
      <c r="P16" s="623">
        <f t="shared" si="11"/>
        <v>0</v>
      </c>
      <c r="Q16" s="624">
        <f t="shared" si="12"/>
        <v>0</v>
      </c>
      <c r="R16" s="624">
        <f t="shared" si="13"/>
        <v>0</v>
      </c>
      <c r="S16" s="624">
        <f t="shared" si="14"/>
        <v>153253.95000000001</v>
      </c>
      <c r="T16" s="624">
        <f t="shared" si="15"/>
        <v>141893.31988098868</v>
      </c>
      <c r="U16" s="629"/>
      <c r="V16" s="630"/>
      <c r="W16" s="631"/>
      <c r="X16" s="627">
        <f t="shared" si="16"/>
        <v>0.92587055590403167</v>
      </c>
    </row>
    <row r="17" spans="1:24" s="632" customFormat="1" ht="41.25" customHeight="1" x14ac:dyDescent="0.2">
      <c r="A17" s="615" t="s">
        <v>1075</v>
      </c>
      <c r="B17" s="633" t="s">
        <v>1076</v>
      </c>
      <c r="C17" s="634" t="s">
        <v>1077</v>
      </c>
      <c r="D17" s="633" t="s">
        <v>77</v>
      </c>
      <c r="E17" s="618">
        <v>44481</v>
      </c>
      <c r="F17" s="618">
        <v>38730.240999999995</v>
      </c>
      <c r="G17" s="618">
        <f>'MOV. DE TERRA BM 07 - 2° ADITIV'!C109</f>
        <v>3017.0815000000025</v>
      </c>
      <c r="H17" s="618">
        <f t="shared" si="5"/>
        <v>41747.322499999995</v>
      </c>
      <c r="I17" s="618">
        <f t="shared" si="6"/>
        <v>2733.6775000000052</v>
      </c>
      <c r="J17" s="619">
        <v>10.504815582799999</v>
      </c>
      <c r="K17" s="620">
        <f t="shared" si="4"/>
        <v>467264.7</v>
      </c>
      <c r="L17" s="621">
        <f t="shared" si="7"/>
        <v>406854.03918239934</v>
      </c>
      <c r="M17" s="622">
        <f t="shared" si="8"/>
        <v>31693.884755777621</v>
      </c>
      <c r="N17" s="622">
        <f t="shared" si="9"/>
        <v>438547.92393817694</v>
      </c>
      <c r="O17" s="622">
        <f t="shared" si="10"/>
        <v>28716.776061823068</v>
      </c>
      <c r="P17" s="623">
        <f t="shared" si="11"/>
        <v>6.782854505332335E-2</v>
      </c>
      <c r="Q17" s="624">
        <f t="shared" si="12"/>
        <v>31693.884755777621</v>
      </c>
      <c r="R17" s="624">
        <f t="shared" si="13"/>
        <v>0</v>
      </c>
      <c r="S17" s="624">
        <f t="shared" si="14"/>
        <v>435570.81524422241</v>
      </c>
      <c r="T17" s="624">
        <f t="shared" si="15"/>
        <v>406854.03918239934</v>
      </c>
      <c r="U17" s="629"/>
      <c r="V17" s="630"/>
      <c r="W17" s="631"/>
      <c r="X17" s="627">
        <f t="shared" si="16"/>
        <v>0.93854280868676132</v>
      </c>
    </row>
    <row r="18" spans="1:24" s="632" customFormat="1" ht="12.75" x14ac:dyDescent="0.2">
      <c r="A18" s="615" t="s">
        <v>1078</v>
      </c>
      <c r="B18" s="633" t="s">
        <v>1079</v>
      </c>
      <c r="C18" s="634" t="s">
        <v>1080</v>
      </c>
      <c r="D18" s="633" t="s">
        <v>77</v>
      </c>
      <c r="E18" s="618">
        <v>2200</v>
      </c>
      <c r="F18" s="618">
        <v>2094</v>
      </c>
      <c r="G18" s="618">
        <f>'MOV. DE MATERIAL BM 07 - 2° ADI'!J4</f>
        <v>100.8</v>
      </c>
      <c r="H18" s="618">
        <f t="shared" si="5"/>
        <v>2194.8000000000002</v>
      </c>
      <c r="I18" s="618">
        <f t="shared" si="6"/>
        <v>5.1999999999998181</v>
      </c>
      <c r="J18" s="619">
        <v>99.66618200000002</v>
      </c>
      <c r="K18" s="620">
        <f t="shared" si="4"/>
        <v>219265.6</v>
      </c>
      <c r="L18" s="621">
        <f t="shared" si="7"/>
        <v>208700.98510800005</v>
      </c>
      <c r="M18" s="622">
        <f t="shared" si="8"/>
        <v>10046.351145600001</v>
      </c>
      <c r="N18" s="622">
        <f t="shared" si="9"/>
        <v>218747.33625360005</v>
      </c>
      <c r="O18" s="622">
        <f t="shared" si="10"/>
        <v>518.26374639995629</v>
      </c>
      <c r="P18" s="623">
        <f t="shared" si="11"/>
        <v>4.5818181901766633E-2</v>
      </c>
      <c r="Q18" s="624">
        <f t="shared" si="12"/>
        <v>10046.351145600001</v>
      </c>
      <c r="R18" s="624">
        <f t="shared" si="13"/>
        <v>0</v>
      </c>
      <c r="S18" s="624">
        <f t="shared" si="14"/>
        <v>209219.24885440001</v>
      </c>
      <c r="T18" s="624">
        <f t="shared" si="15"/>
        <v>208700.98510800005</v>
      </c>
      <c r="U18" s="629"/>
      <c r="V18" s="630"/>
      <c r="W18" s="631"/>
      <c r="X18" s="627">
        <f t="shared" si="16"/>
        <v>0.9976363654563235</v>
      </c>
    </row>
    <row r="19" spans="1:24" s="632" customFormat="1" ht="12.75" x14ac:dyDescent="0.2">
      <c r="A19" s="615" t="s">
        <v>1081</v>
      </c>
      <c r="B19" s="633" t="s">
        <v>1082</v>
      </c>
      <c r="C19" s="634" t="s">
        <v>1083</v>
      </c>
      <c r="D19" s="633" t="s">
        <v>85</v>
      </c>
      <c r="E19" s="618">
        <v>149160</v>
      </c>
      <c r="F19" s="618">
        <v>149160</v>
      </c>
      <c r="G19" s="618"/>
      <c r="H19" s="618">
        <f t="shared" si="5"/>
        <v>149160</v>
      </c>
      <c r="I19" s="618">
        <f t="shared" si="6"/>
        <v>0</v>
      </c>
      <c r="J19" s="619">
        <v>0.58803047380000006</v>
      </c>
      <c r="K19" s="620">
        <f>E19*J19</f>
        <v>87710.625472008003</v>
      </c>
      <c r="L19" s="621">
        <f t="shared" si="7"/>
        <v>87710.625472008003</v>
      </c>
      <c r="M19" s="622">
        <f t="shared" si="8"/>
        <v>0</v>
      </c>
      <c r="N19" s="622">
        <f t="shared" si="9"/>
        <v>87710.625472008003</v>
      </c>
      <c r="O19" s="622">
        <f t="shared" si="10"/>
        <v>0</v>
      </c>
      <c r="P19" s="623">
        <f t="shared" si="11"/>
        <v>0</v>
      </c>
      <c r="Q19" s="624">
        <f t="shared" si="12"/>
        <v>0</v>
      </c>
      <c r="R19" s="624">
        <f t="shared" si="13"/>
        <v>0</v>
      </c>
      <c r="S19" s="624">
        <f t="shared" si="14"/>
        <v>87710.625472008003</v>
      </c>
      <c r="T19" s="624">
        <f t="shared" si="15"/>
        <v>87710.625472008003</v>
      </c>
      <c r="U19" s="629"/>
      <c r="V19" s="630"/>
      <c r="W19" s="631"/>
      <c r="X19" s="627">
        <f t="shared" si="16"/>
        <v>1</v>
      </c>
    </row>
    <row r="20" spans="1:24" s="632" customFormat="1" ht="12.75" x14ac:dyDescent="0.2">
      <c r="A20" s="615" t="s">
        <v>1084</v>
      </c>
      <c r="B20" s="633" t="s">
        <v>1085</v>
      </c>
      <c r="C20" s="634" t="s">
        <v>1086</v>
      </c>
      <c r="D20" s="633" t="s">
        <v>85</v>
      </c>
      <c r="E20" s="618">
        <v>3630.0000000000005</v>
      </c>
      <c r="F20" s="618">
        <v>3141</v>
      </c>
      <c r="G20" s="618">
        <f>'MOV. DE MATERIAL BM 07 - 2° ADI'!J6</f>
        <v>151.19999999999999</v>
      </c>
      <c r="H20" s="618">
        <f t="shared" si="5"/>
        <v>3292.2</v>
      </c>
      <c r="I20" s="618">
        <f t="shared" si="6"/>
        <v>337.80000000000064</v>
      </c>
      <c r="J20" s="619">
        <v>0.89699563800000015</v>
      </c>
      <c r="K20" s="620">
        <f>ROUND(E20*$J20,2)</f>
        <v>3256.09</v>
      </c>
      <c r="L20" s="621">
        <f t="shared" si="7"/>
        <v>2817.4632989580005</v>
      </c>
      <c r="M20" s="622">
        <f t="shared" si="8"/>
        <v>135.62574046560002</v>
      </c>
      <c r="N20" s="622">
        <f t="shared" si="9"/>
        <v>2953.0890394236003</v>
      </c>
      <c r="O20" s="622">
        <f t="shared" si="10"/>
        <v>303.00096057639985</v>
      </c>
      <c r="P20" s="623">
        <f t="shared" si="11"/>
        <v>4.1652945853953668E-2</v>
      </c>
      <c r="Q20" s="624">
        <f t="shared" si="12"/>
        <v>135.62574046560002</v>
      </c>
      <c r="R20" s="624">
        <f t="shared" si="13"/>
        <v>0</v>
      </c>
      <c r="S20" s="624">
        <f t="shared" si="14"/>
        <v>3120.4642595344003</v>
      </c>
      <c r="T20" s="624">
        <f t="shared" si="15"/>
        <v>2817.4632989580005</v>
      </c>
      <c r="U20" s="629"/>
      <c r="V20" s="630"/>
      <c r="W20" s="631"/>
      <c r="X20" s="627">
        <f t="shared" si="16"/>
        <v>0.9069433091295388</v>
      </c>
    </row>
    <row r="21" spans="1:24" s="632" customFormat="1" ht="30" customHeight="1" x14ac:dyDescent="0.2">
      <c r="A21" s="615" t="s">
        <v>1087</v>
      </c>
      <c r="B21" s="633" t="s">
        <v>1088</v>
      </c>
      <c r="C21" s="617" t="s">
        <v>1089</v>
      </c>
      <c r="D21" s="633" t="s">
        <v>77</v>
      </c>
      <c r="E21" s="618">
        <v>2200</v>
      </c>
      <c r="F21" s="618">
        <v>2094</v>
      </c>
      <c r="G21" s="618">
        <f>'MOV. DE MATERIAL BM 07 - 2° ADI'!J7</f>
        <v>100.8</v>
      </c>
      <c r="H21" s="618">
        <f t="shared" si="5"/>
        <v>2194.8000000000002</v>
      </c>
      <c r="I21" s="618">
        <f t="shared" si="6"/>
        <v>5.1999999999998181</v>
      </c>
      <c r="J21" s="619">
        <v>17.381782140800006</v>
      </c>
      <c r="K21" s="620">
        <f>ROUND(E21*$J21,2)</f>
        <v>38239.919999999998</v>
      </c>
      <c r="L21" s="621">
        <f t="shared" si="7"/>
        <v>36397.45180283521</v>
      </c>
      <c r="M21" s="622">
        <f t="shared" si="8"/>
        <v>1752.0836397926405</v>
      </c>
      <c r="N21" s="622">
        <f t="shared" si="9"/>
        <v>38149.535442627857</v>
      </c>
      <c r="O21" s="622">
        <f t="shared" si="10"/>
        <v>90.384557372140989</v>
      </c>
      <c r="P21" s="623">
        <f t="shared" si="11"/>
        <v>4.5818182668599737E-2</v>
      </c>
      <c r="Q21" s="624">
        <f t="shared" si="12"/>
        <v>1752.0836397926405</v>
      </c>
      <c r="R21" s="624">
        <f t="shared" si="13"/>
        <v>0</v>
      </c>
      <c r="S21" s="624">
        <f t="shared" si="14"/>
        <v>36487.836360207359</v>
      </c>
      <c r="T21" s="624">
        <f t="shared" si="15"/>
        <v>36397.451802835218</v>
      </c>
      <c r="U21" s="629"/>
      <c r="V21" s="630"/>
      <c r="W21" s="631"/>
      <c r="X21" s="627">
        <f t="shared" si="16"/>
        <v>0.99763638215320161</v>
      </c>
    </row>
    <row r="22" spans="1:24" s="632" customFormat="1" ht="20.25" customHeight="1" x14ac:dyDescent="0.2">
      <c r="A22" s="597" t="s">
        <v>326</v>
      </c>
      <c r="B22" s="636"/>
      <c r="C22" s="599" t="s">
        <v>327</v>
      </c>
      <c r="D22" s="600"/>
      <c r="E22" s="601"/>
      <c r="F22" s="601"/>
      <c r="G22" s="601"/>
      <c r="H22" s="601"/>
      <c r="I22" s="601"/>
      <c r="J22" s="602"/>
      <c r="K22" s="603">
        <f>K23</f>
        <v>244200.68</v>
      </c>
      <c r="L22" s="603">
        <f t="shared" ref="L22:O23" si="17">L23</f>
        <v>220437.02579999997</v>
      </c>
      <c r="M22" s="603">
        <f t="shared" si="17"/>
        <v>16563.744399999996</v>
      </c>
      <c r="N22" s="603">
        <f t="shared" si="17"/>
        <v>237000.77019999994</v>
      </c>
      <c r="O22" s="603">
        <f t="shared" si="17"/>
        <v>7199.9098000000522</v>
      </c>
      <c r="P22" s="604">
        <f t="shared" si="11"/>
        <v>6.782841227141545E-2</v>
      </c>
      <c r="Q22" s="624">
        <f t="shared" si="12"/>
        <v>0</v>
      </c>
      <c r="R22" s="624">
        <f t="shared" si="13"/>
        <v>16563.744399999996</v>
      </c>
      <c r="S22" s="624">
        <f t="shared" si="14"/>
        <v>244200.68</v>
      </c>
      <c r="T22" s="624">
        <f t="shared" si="15"/>
        <v>237000.77019999994</v>
      </c>
      <c r="U22" s="629"/>
      <c r="V22" s="630"/>
      <c r="W22" s="631"/>
      <c r="X22" s="627">
        <f t="shared" si="16"/>
        <v>0.97051642198539312</v>
      </c>
    </row>
    <row r="23" spans="1:24" s="632" customFormat="1" ht="15.75" customHeight="1" x14ac:dyDescent="0.2">
      <c r="A23" s="637" t="s">
        <v>328</v>
      </c>
      <c r="B23" s="638"/>
      <c r="C23" s="639" t="s">
        <v>329</v>
      </c>
      <c r="D23" s="638"/>
      <c r="E23" s="640"/>
      <c r="F23" s="640"/>
      <c r="G23" s="640"/>
      <c r="H23" s="640"/>
      <c r="I23" s="640"/>
      <c r="J23" s="641"/>
      <c r="K23" s="642">
        <f>K24</f>
        <v>244200.68</v>
      </c>
      <c r="L23" s="642">
        <f t="shared" si="17"/>
        <v>220437.02579999997</v>
      </c>
      <c r="M23" s="642">
        <f t="shared" si="17"/>
        <v>16563.744399999996</v>
      </c>
      <c r="N23" s="642">
        <f t="shared" si="17"/>
        <v>237000.77019999994</v>
      </c>
      <c r="O23" s="642">
        <f t="shared" si="17"/>
        <v>7199.9098000000522</v>
      </c>
      <c r="P23" s="643">
        <f t="shared" si="11"/>
        <v>6.782841227141545E-2</v>
      </c>
      <c r="Q23" s="624">
        <f t="shared" si="12"/>
        <v>0</v>
      </c>
      <c r="R23" s="624">
        <f t="shared" si="13"/>
        <v>16563.744399999996</v>
      </c>
      <c r="S23" s="624">
        <f t="shared" si="14"/>
        <v>244200.68</v>
      </c>
      <c r="T23" s="624">
        <f t="shared" si="15"/>
        <v>237000.77019999994</v>
      </c>
      <c r="U23" s="629"/>
      <c r="V23" s="630"/>
      <c r="W23" s="631"/>
      <c r="X23" s="627">
        <f t="shared" si="16"/>
        <v>0.97051642198539312</v>
      </c>
    </row>
    <row r="24" spans="1:24" s="628" customFormat="1" ht="12.75" x14ac:dyDescent="0.2">
      <c r="A24" s="615" t="s">
        <v>330</v>
      </c>
      <c r="B24" s="633" t="s">
        <v>1090</v>
      </c>
      <c r="C24" s="617" t="s">
        <v>82</v>
      </c>
      <c r="D24" s="616" t="s">
        <v>77</v>
      </c>
      <c r="E24" s="618">
        <v>30073.9755</v>
      </c>
      <c r="F24" s="618">
        <v>27147.416970443348</v>
      </c>
      <c r="G24" s="618">
        <v>2039.87</v>
      </c>
      <c r="H24" s="618">
        <f t="shared" ref="H24" si="18">F24+G24</f>
        <v>29187.286970443347</v>
      </c>
      <c r="I24" s="618">
        <f t="shared" ref="I24" si="19">E24-H24</f>
        <v>886.68852955665352</v>
      </c>
      <c r="J24" s="619">
        <v>8.1199999999999992</v>
      </c>
      <c r="K24" s="620">
        <f>ROUND(E24*$J24,2)</f>
        <v>244200.68</v>
      </c>
      <c r="L24" s="621">
        <f t="shared" ref="L24" si="20">F24*J24</f>
        <v>220437.02579999997</v>
      </c>
      <c r="M24" s="622">
        <f t="shared" ref="M24" si="21">G24*J24</f>
        <v>16563.744399999996</v>
      </c>
      <c r="N24" s="622">
        <f t="shared" ref="N24" si="22">H24*J24</f>
        <v>237000.77019999994</v>
      </c>
      <c r="O24" s="622">
        <f t="shared" ref="O24" si="23">K24-N24</f>
        <v>7199.9098000000522</v>
      </c>
      <c r="P24" s="644">
        <f t="shared" si="11"/>
        <v>6.782841227141545E-2</v>
      </c>
      <c r="Q24" s="624">
        <f t="shared" si="12"/>
        <v>16563.744399999996</v>
      </c>
      <c r="R24" s="624">
        <f t="shared" si="13"/>
        <v>0</v>
      </c>
      <c r="S24" s="624">
        <f t="shared" si="14"/>
        <v>227636.9356</v>
      </c>
      <c r="T24" s="624">
        <f t="shared" si="15"/>
        <v>220437.02579999994</v>
      </c>
      <c r="U24" s="625" t="s">
        <v>1091</v>
      </c>
      <c r="V24" s="626"/>
      <c r="W24" s="625"/>
      <c r="X24" s="627">
        <f t="shared" si="16"/>
        <v>0.97051642198539312</v>
      </c>
    </row>
    <row r="25" spans="1:24" s="152" customFormat="1" ht="12.75" x14ac:dyDescent="0.2">
      <c r="A25" s="584" t="s">
        <v>427</v>
      </c>
      <c r="B25" s="645"/>
      <c r="C25" s="586" t="s">
        <v>428</v>
      </c>
      <c r="D25" s="587"/>
      <c r="E25" s="588"/>
      <c r="F25" s="588"/>
      <c r="G25" s="588"/>
      <c r="H25" s="588"/>
      <c r="I25" s="588"/>
      <c r="J25" s="589"/>
      <c r="K25" s="590">
        <f>K26+K30</f>
        <v>109924.68000000001</v>
      </c>
      <c r="L25" s="590">
        <f t="shared" ref="L25:O25" si="24">L26+L30</f>
        <v>26512.599738548</v>
      </c>
      <c r="M25" s="590">
        <f t="shared" si="24"/>
        <v>0</v>
      </c>
      <c r="N25" s="590">
        <f t="shared" si="24"/>
        <v>26512.599738548</v>
      </c>
      <c r="O25" s="590">
        <f t="shared" si="24"/>
        <v>83412.080261452007</v>
      </c>
      <c r="P25" s="591">
        <f t="shared" si="11"/>
        <v>0</v>
      </c>
      <c r="Q25" s="624">
        <f t="shared" si="12"/>
        <v>0</v>
      </c>
      <c r="R25" s="624">
        <f t="shared" si="13"/>
        <v>0</v>
      </c>
      <c r="S25" s="624">
        <f t="shared" si="14"/>
        <v>109924.68000000001</v>
      </c>
      <c r="T25" s="624">
        <f t="shared" si="15"/>
        <v>26512.599738548</v>
      </c>
      <c r="U25" s="593"/>
      <c r="V25" s="594"/>
      <c r="W25" s="595" t="e">
        <f>V25*(1-#REF!)</f>
        <v>#REF!</v>
      </c>
      <c r="X25" s="627">
        <f t="shared" si="16"/>
        <v>0.24118878252407011</v>
      </c>
    </row>
    <row r="26" spans="1:24" s="152" customFormat="1" ht="12.75" x14ac:dyDescent="0.2">
      <c r="A26" s="597" t="s">
        <v>437</v>
      </c>
      <c r="B26" s="636"/>
      <c r="C26" s="599" t="s">
        <v>438</v>
      </c>
      <c r="D26" s="600"/>
      <c r="E26" s="601"/>
      <c r="F26" s="601"/>
      <c r="G26" s="601"/>
      <c r="H26" s="601"/>
      <c r="I26" s="601"/>
      <c r="J26" s="602"/>
      <c r="K26" s="603">
        <f>SUM(K27:K29)</f>
        <v>19563.27</v>
      </c>
      <c r="L26" s="603">
        <f>SUM(L27:L29)</f>
        <v>14301.59878609</v>
      </c>
      <c r="M26" s="603">
        <f>SUM(M27:M29)</f>
        <v>0</v>
      </c>
      <c r="N26" s="603">
        <f>SUM(N27:N29)</f>
        <v>14301.59878609</v>
      </c>
      <c r="O26" s="603">
        <f>SUM(O27:O29)</f>
        <v>5261.6712139100009</v>
      </c>
      <c r="P26" s="604">
        <f t="shared" si="11"/>
        <v>0</v>
      </c>
      <c r="Q26" s="624">
        <f t="shared" si="12"/>
        <v>0</v>
      </c>
      <c r="R26" s="624">
        <f t="shared" si="13"/>
        <v>0</v>
      </c>
      <c r="S26" s="624">
        <f t="shared" si="14"/>
        <v>19563.27</v>
      </c>
      <c r="T26" s="624">
        <f t="shared" si="15"/>
        <v>14301.598786089999</v>
      </c>
      <c r="U26" s="593"/>
      <c r="V26" s="594"/>
      <c r="W26" s="595" t="e">
        <f>V26*(1-#REF!)</f>
        <v>#REF!</v>
      </c>
      <c r="X26" s="627">
        <f t="shared" si="16"/>
        <v>0.73104336780558665</v>
      </c>
    </row>
    <row r="27" spans="1:24" s="632" customFormat="1" ht="38.25" x14ac:dyDescent="0.2">
      <c r="A27" s="615" t="s">
        <v>1092</v>
      </c>
      <c r="B27" s="633" t="s">
        <v>1093</v>
      </c>
      <c r="C27" s="634" t="s">
        <v>1094</v>
      </c>
      <c r="D27" s="633" t="s">
        <v>57</v>
      </c>
      <c r="E27" s="618">
        <v>550</v>
      </c>
      <c r="F27" s="618">
        <v>550</v>
      </c>
      <c r="G27" s="618"/>
      <c r="H27" s="618">
        <f t="shared" ref="H27:H29" si="25">F27+G27</f>
        <v>550</v>
      </c>
      <c r="I27" s="618">
        <f t="shared" ref="I27:I29" si="26">E27-H27</f>
        <v>0</v>
      </c>
      <c r="J27" s="619">
        <v>25.365043319000002</v>
      </c>
      <c r="K27" s="620">
        <f>ROUND(E27*$J27,2)</f>
        <v>13950.77</v>
      </c>
      <c r="L27" s="621">
        <f t="shared" ref="L27:L29" si="27">F27*J27</f>
        <v>13950.77382545</v>
      </c>
      <c r="M27" s="622">
        <f t="shared" ref="M27:M29" si="28">G27*J27</f>
        <v>0</v>
      </c>
      <c r="N27" s="622">
        <f t="shared" ref="N27:N29" si="29">H27*J27</f>
        <v>13950.77382545</v>
      </c>
      <c r="O27" s="622">
        <f t="shared" ref="O27:O29" si="30">K27-N27</f>
        <v>-3.8254499995673541E-3</v>
      </c>
      <c r="P27" s="644">
        <f t="shared" si="11"/>
        <v>0</v>
      </c>
      <c r="Q27" s="624">
        <f t="shared" si="12"/>
        <v>0</v>
      </c>
      <c r="R27" s="624">
        <f t="shared" si="13"/>
        <v>0</v>
      </c>
      <c r="S27" s="624">
        <f t="shared" si="14"/>
        <v>13950.77</v>
      </c>
      <c r="T27" s="624">
        <f t="shared" si="15"/>
        <v>13950.77382545</v>
      </c>
      <c r="U27" s="629"/>
      <c r="V27" s="630"/>
      <c r="W27" s="631"/>
      <c r="X27" s="627">
        <f t="shared" si="16"/>
        <v>1.0000002742106708</v>
      </c>
    </row>
    <row r="28" spans="1:24" s="632" customFormat="1" ht="12.75" x14ac:dyDescent="0.2">
      <c r="A28" s="615" t="s">
        <v>1095</v>
      </c>
      <c r="B28" s="633" t="s">
        <v>1096</v>
      </c>
      <c r="C28" s="634" t="s">
        <v>1097</v>
      </c>
      <c r="D28" s="633" t="s">
        <v>57</v>
      </c>
      <c r="E28" s="618">
        <v>550</v>
      </c>
      <c r="F28" s="618">
        <v>550</v>
      </c>
      <c r="G28" s="618"/>
      <c r="H28" s="618">
        <f t="shared" si="25"/>
        <v>550</v>
      </c>
      <c r="I28" s="618">
        <f t="shared" si="26"/>
        <v>0</v>
      </c>
      <c r="J28" s="619">
        <v>0.63786356480000006</v>
      </c>
      <c r="K28" s="620">
        <f>ROUND(E28*$J28,2)</f>
        <v>350.82</v>
      </c>
      <c r="L28" s="621">
        <f t="shared" si="27"/>
        <v>350.82496064000003</v>
      </c>
      <c r="M28" s="622">
        <f t="shared" si="28"/>
        <v>0</v>
      </c>
      <c r="N28" s="622">
        <f t="shared" si="29"/>
        <v>350.82496064000003</v>
      </c>
      <c r="O28" s="622">
        <f t="shared" si="30"/>
        <v>-4.9606400000357098E-3</v>
      </c>
      <c r="P28" s="644">
        <f t="shared" si="11"/>
        <v>0</v>
      </c>
      <c r="Q28" s="624">
        <f t="shared" si="12"/>
        <v>0</v>
      </c>
      <c r="R28" s="624">
        <f t="shared" si="13"/>
        <v>0</v>
      </c>
      <c r="S28" s="624">
        <f t="shared" si="14"/>
        <v>350.82</v>
      </c>
      <c r="T28" s="624">
        <f t="shared" si="15"/>
        <v>350.82496064000003</v>
      </c>
      <c r="U28" s="629"/>
      <c r="V28" s="630"/>
      <c r="W28" s="631"/>
      <c r="X28" s="627">
        <f t="shared" si="16"/>
        <v>1.0000141401288412</v>
      </c>
    </row>
    <row r="29" spans="1:24" s="632" customFormat="1" ht="12.75" x14ac:dyDescent="0.2">
      <c r="A29" s="615" t="s">
        <v>1098</v>
      </c>
      <c r="B29" s="633" t="s">
        <v>1099</v>
      </c>
      <c r="C29" s="634" t="s">
        <v>1100</v>
      </c>
      <c r="D29" s="633" t="s">
        <v>1068</v>
      </c>
      <c r="E29" s="618">
        <v>1</v>
      </c>
      <c r="F29" s="618">
        <v>0</v>
      </c>
      <c r="G29" s="618"/>
      <c r="H29" s="618">
        <f t="shared" si="25"/>
        <v>0</v>
      </c>
      <c r="I29" s="618">
        <f t="shared" si="26"/>
        <v>1</v>
      </c>
      <c r="J29" s="619">
        <v>5261.6767463260003</v>
      </c>
      <c r="K29" s="620">
        <f>ROUND(E29*$J29,2)</f>
        <v>5261.68</v>
      </c>
      <c r="L29" s="621">
        <f t="shared" si="27"/>
        <v>0</v>
      </c>
      <c r="M29" s="622">
        <f t="shared" si="28"/>
        <v>0</v>
      </c>
      <c r="N29" s="622">
        <f t="shared" si="29"/>
        <v>0</v>
      </c>
      <c r="O29" s="622">
        <f t="shared" si="30"/>
        <v>5261.68</v>
      </c>
      <c r="P29" s="644">
        <f t="shared" si="11"/>
        <v>0</v>
      </c>
      <c r="Q29" s="624">
        <f t="shared" si="12"/>
        <v>0</v>
      </c>
      <c r="R29" s="624">
        <f t="shared" si="13"/>
        <v>0</v>
      </c>
      <c r="S29" s="624">
        <f t="shared" si="14"/>
        <v>5261.68</v>
      </c>
      <c r="T29" s="624">
        <f t="shared" si="15"/>
        <v>0</v>
      </c>
      <c r="U29" s="629"/>
      <c r="V29" s="630"/>
      <c r="W29" s="631"/>
      <c r="X29" s="627">
        <f t="shared" si="16"/>
        <v>0</v>
      </c>
    </row>
    <row r="30" spans="1:24" s="152" customFormat="1" ht="12.75" x14ac:dyDescent="0.2">
      <c r="A30" s="597" t="s">
        <v>466</v>
      </c>
      <c r="B30" s="636"/>
      <c r="C30" s="599" t="s">
        <v>467</v>
      </c>
      <c r="D30" s="600"/>
      <c r="E30" s="601"/>
      <c r="F30" s="601"/>
      <c r="G30" s="601"/>
      <c r="H30" s="601"/>
      <c r="I30" s="601"/>
      <c r="J30" s="602"/>
      <c r="K30" s="603">
        <f>SUM(K31:K32)</f>
        <v>90361.41</v>
      </c>
      <c r="L30" s="603">
        <f t="shared" ref="L30:O30" si="31">SUM(L31:L32)</f>
        <v>12211.000952458</v>
      </c>
      <c r="M30" s="603">
        <f t="shared" si="31"/>
        <v>0</v>
      </c>
      <c r="N30" s="603">
        <f t="shared" si="31"/>
        <v>12211.000952458</v>
      </c>
      <c r="O30" s="603">
        <f t="shared" si="31"/>
        <v>78150.409047542009</v>
      </c>
      <c r="P30" s="604">
        <f>M30/K30</f>
        <v>0</v>
      </c>
      <c r="Q30" s="624">
        <f t="shared" si="12"/>
        <v>0</v>
      </c>
      <c r="R30" s="624">
        <f t="shared" si="13"/>
        <v>0</v>
      </c>
      <c r="S30" s="624">
        <f t="shared" si="14"/>
        <v>90361.41</v>
      </c>
      <c r="T30" s="624">
        <f t="shared" si="15"/>
        <v>12211.000952457995</v>
      </c>
      <c r="U30" s="593"/>
      <c r="V30" s="594"/>
      <c r="X30" s="627">
        <f t="shared" si="16"/>
        <v>0.13513513072071362</v>
      </c>
    </row>
    <row r="31" spans="1:24" s="632" customFormat="1" ht="25.5" x14ac:dyDescent="0.2">
      <c r="A31" s="615" t="s">
        <v>1101</v>
      </c>
      <c r="B31" s="616" t="s">
        <v>1102</v>
      </c>
      <c r="C31" s="617" t="s">
        <v>1103</v>
      </c>
      <c r="D31" s="616" t="s">
        <v>130</v>
      </c>
      <c r="E31" s="618">
        <v>4</v>
      </c>
      <c r="F31" s="618">
        <v>0</v>
      </c>
      <c r="G31" s="618"/>
      <c r="H31" s="618">
        <f t="shared" ref="H31:H32" si="32">F31+G31</f>
        <v>0</v>
      </c>
      <c r="I31" s="618">
        <f t="shared" ref="I31:I32" si="33">E31-H31</f>
        <v>4</v>
      </c>
      <c r="J31" s="619">
        <v>19537.601523932804</v>
      </c>
      <c r="K31" s="620">
        <f>ROUND(E31*$J31,2)</f>
        <v>78150.41</v>
      </c>
      <c r="L31" s="621">
        <f t="shared" ref="L31:L32" si="34">F31*J31</f>
        <v>0</v>
      </c>
      <c r="M31" s="622">
        <f t="shared" ref="M31:M32" si="35">G31*J31</f>
        <v>0</v>
      </c>
      <c r="N31" s="622">
        <f t="shared" ref="N31:N32" si="36">H31*J31</f>
        <v>0</v>
      </c>
      <c r="O31" s="622">
        <f t="shared" ref="O31:O32" si="37">K31-N31</f>
        <v>78150.41</v>
      </c>
      <c r="P31" s="644">
        <f>M31/K31</f>
        <v>0</v>
      </c>
      <c r="Q31" s="624">
        <f t="shared" si="12"/>
        <v>0</v>
      </c>
      <c r="R31" s="624">
        <f t="shared" si="13"/>
        <v>0</v>
      </c>
      <c r="S31" s="624">
        <f t="shared" si="14"/>
        <v>78150.41</v>
      </c>
      <c r="T31" s="624">
        <f t="shared" si="15"/>
        <v>0</v>
      </c>
      <c r="U31" s="629"/>
      <c r="V31" s="630"/>
      <c r="X31" s="627">
        <f t="shared" si="16"/>
        <v>0</v>
      </c>
    </row>
    <row r="32" spans="1:24" s="632" customFormat="1" ht="26.25" thickBot="1" x14ac:dyDescent="0.25">
      <c r="A32" s="646" t="s">
        <v>1104</v>
      </c>
      <c r="B32" s="647" t="s">
        <v>1102</v>
      </c>
      <c r="C32" s="648" t="s">
        <v>1105</v>
      </c>
      <c r="D32" s="647" t="s">
        <v>1068</v>
      </c>
      <c r="E32" s="649">
        <v>1</v>
      </c>
      <c r="F32" s="649">
        <v>1</v>
      </c>
      <c r="G32" s="649"/>
      <c r="H32" s="618">
        <f t="shared" si="32"/>
        <v>1</v>
      </c>
      <c r="I32" s="618">
        <f t="shared" si="33"/>
        <v>0</v>
      </c>
      <c r="J32" s="650">
        <v>12211.000952458</v>
      </c>
      <c r="K32" s="651">
        <f>ROUND(E32*$J32,2)</f>
        <v>12211</v>
      </c>
      <c r="L32" s="621">
        <f t="shared" si="34"/>
        <v>12211.000952458</v>
      </c>
      <c r="M32" s="622">
        <f t="shared" si="35"/>
        <v>0</v>
      </c>
      <c r="N32" s="622">
        <f t="shared" si="36"/>
        <v>12211.000952458</v>
      </c>
      <c r="O32" s="622">
        <f t="shared" si="37"/>
        <v>-9.5245800002885517E-4</v>
      </c>
      <c r="P32" s="644">
        <f>M32/K32</f>
        <v>0</v>
      </c>
      <c r="Q32" s="624">
        <f t="shared" si="12"/>
        <v>0</v>
      </c>
      <c r="R32" s="624">
        <f t="shared" si="13"/>
        <v>0</v>
      </c>
      <c r="S32" s="624">
        <f t="shared" si="14"/>
        <v>12211</v>
      </c>
      <c r="T32" s="624">
        <f t="shared" si="15"/>
        <v>12211.000952458</v>
      </c>
      <c r="U32" s="629"/>
      <c r="V32" s="630"/>
      <c r="X32" s="627">
        <f t="shared" si="16"/>
        <v>1.000000078</v>
      </c>
    </row>
    <row r="33" spans="1:25" s="659" customFormat="1" ht="13.5" thickBot="1" x14ac:dyDescent="0.25">
      <c r="A33" s="652" t="s">
        <v>1106</v>
      </c>
      <c r="B33" s="653"/>
      <c r="C33" s="653"/>
      <c r="D33" s="653"/>
      <c r="E33" s="653"/>
      <c r="F33" s="653"/>
      <c r="G33" s="653"/>
      <c r="H33" s="653"/>
      <c r="I33" s="653"/>
      <c r="J33" s="654"/>
      <c r="K33" s="655">
        <f>K9+K25</f>
        <v>1482380.6754720078</v>
      </c>
      <c r="L33" s="655">
        <f t="shared" ref="L33:O33" si="38">L9+L25</f>
        <v>1289789.5515393957</v>
      </c>
      <c r="M33" s="655">
        <f t="shared" si="38"/>
        <v>60191.689681635857</v>
      </c>
      <c r="N33" s="655">
        <f t="shared" si="38"/>
        <v>1349981.2412210316</v>
      </c>
      <c r="O33" s="655">
        <f t="shared" si="38"/>
        <v>132399.43425097654</v>
      </c>
      <c r="P33" s="656">
        <f>M33/K33</f>
        <v>4.0604745243639995E-2</v>
      </c>
      <c r="Q33" s="657"/>
      <c r="R33" s="657"/>
      <c r="S33" s="657"/>
      <c r="T33" s="657"/>
      <c r="U33" s="593"/>
      <c r="V33" s="658"/>
      <c r="X33" s="660"/>
    </row>
    <row r="34" spans="1:25" x14ac:dyDescent="0.2">
      <c r="K34" s="665"/>
    </row>
    <row r="38" spans="1:25" s="664" customFormat="1" x14ac:dyDescent="0.2">
      <c r="A38" s="574"/>
      <c r="B38" s="661"/>
      <c r="C38" s="574"/>
      <c r="D38" s="662"/>
      <c r="E38" s="663"/>
      <c r="F38" s="663"/>
      <c r="G38" s="663"/>
      <c r="H38" s="663"/>
      <c r="I38" s="663"/>
      <c r="K38" s="574"/>
      <c r="P38" s="662"/>
      <c r="U38" s="574"/>
      <c r="V38" s="573"/>
      <c r="W38" s="574"/>
      <c r="X38" s="575"/>
      <c r="Y38" s="574"/>
    </row>
  </sheetData>
  <autoFilter ref="A7:U33" xr:uid="{00000000-0001-0000-0000-000000000000}"/>
  <mergeCells count="16">
    <mergeCell ref="F6:I6"/>
    <mergeCell ref="J6:J7"/>
    <mergeCell ref="K6:O6"/>
    <mergeCell ref="P6:P7"/>
    <mergeCell ref="V6:W6"/>
    <mergeCell ref="A33:J33"/>
    <mergeCell ref="A1:P1"/>
    <mergeCell ref="A2:D2"/>
    <mergeCell ref="A3:D3"/>
    <mergeCell ref="A4:D4"/>
    <mergeCell ref="A5:D5"/>
    <mergeCell ref="A6:A7"/>
    <mergeCell ref="B6:B7"/>
    <mergeCell ref="C6:C7"/>
    <mergeCell ref="D6:D7"/>
    <mergeCell ref="E6:E7"/>
  </mergeCells>
  <printOptions horizontalCentered="1"/>
  <pageMargins left="0.39370078740157483" right="0.39370078740157483" top="0.59055118110236227" bottom="0.78740157480314965" header="0.31496062992125984" footer="0.31496062992125984"/>
  <pageSetup paperSize="9" scale="43" fitToHeight="0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89EB6-40AF-44B2-BF91-64BACD68EB97}">
  <dimension ref="A1:G109"/>
  <sheetViews>
    <sheetView view="pageBreakPreview" zoomScaleNormal="100" zoomScaleSheetLayoutView="100" workbookViewId="0">
      <selection activeCell="G21" sqref="G21"/>
    </sheetView>
  </sheetViews>
  <sheetFormatPr defaultRowHeight="12.75" x14ac:dyDescent="0.2"/>
  <cols>
    <col min="1" max="1" width="35.1640625" style="152" customWidth="1"/>
    <col min="2" max="2" width="12.1640625" style="152" customWidth="1"/>
    <col min="3" max="3" width="14.5" style="152" customWidth="1"/>
    <col min="4" max="4" width="13.33203125" style="152" customWidth="1"/>
    <col min="5" max="5" width="14.5" style="152" customWidth="1"/>
    <col min="6" max="7" width="16.1640625" style="152" customWidth="1"/>
    <col min="8" max="16384" width="9.33203125" style="152"/>
  </cols>
  <sheetData>
    <row r="1" spans="1:7" ht="17.25" customHeight="1" x14ac:dyDescent="0.2">
      <c r="A1" s="520" t="s">
        <v>950</v>
      </c>
      <c r="B1" s="521"/>
      <c r="C1" s="521"/>
      <c r="D1" s="521"/>
      <c r="E1" s="521"/>
      <c r="F1" s="521"/>
      <c r="G1" s="521"/>
    </row>
    <row r="2" spans="1:7" ht="27" customHeight="1" x14ac:dyDescent="0.2">
      <c r="A2" s="307" t="s">
        <v>951</v>
      </c>
      <c r="B2" s="308" t="s">
        <v>952</v>
      </c>
      <c r="C2" s="309" t="s">
        <v>953</v>
      </c>
      <c r="D2" s="308" t="s">
        <v>954</v>
      </c>
      <c r="E2" s="310" t="s">
        <v>955</v>
      </c>
      <c r="F2" s="308" t="s">
        <v>956</v>
      </c>
      <c r="G2" s="309" t="s">
        <v>957</v>
      </c>
    </row>
    <row r="3" spans="1:7" ht="15" customHeight="1" x14ac:dyDescent="0.2">
      <c r="A3" s="522" t="s">
        <v>958</v>
      </c>
      <c r="B3" s="523"/>
      <c r="C3" s="523"/>
      <c r="D3" s="523"/>
      <c r="E3" s="523"/>
      <c r="F3" s="523"/>
      <c r="G3" s="523"/>
    </row>
    <row r="4" spans="1:7" s="669" customFormat="1" ht="15.6" customHeight="1" x14ac:dyDescent="0.2">
      <c r="A4" s="666" t="s">
        <v>959</v>
      </c>
      <c r="B4" s="667">
        <v>60.28</v>
      </c>
      <c r="C4" s="667">
        <v>700.76</v>
      </c>
      <c r="D4" s="667">
        <v>0</v>
      </c>
      <c r="E4" s="667">
        <v>0</v>
      </c>
      <c r="F4" s="668">
        <v>29333.1</v>
      </c>
      <c r="G4" s="668">
        <v>24604.880000000001</v>
      </c>
    </row>
    <row r="5" spans="1:7" s="669" customFormat="1" ht="15.6" customHeight="1" x14ac:dyDescent="0.2">
      <c r="A5" s="666" t="s">
        <v>960</v>
      </c>
      <c r="B5" s="667">
        <v>33.9</v>
      </c>
      <c r="C5" s="667">
        <v>475.36</v>
      </c>
      <c r="D5" s="667">
        <v>0</v>
      </c>
      <c r="E5" s="667">
        <v>0</v>
      </c>
      <c r="F5" s="668">
        <v>29808.46</v>
      </c>
      <c r="G5" s="668">
        <f>G4+E5</f>
        <v>24604.880000000001</v>
      </c>
    </row>
    <row r="6" spans="1:7" s="669" customFormat="1" ht="15.6" customHeight="1" x14ac:dyDescent="0.2">
      <c r="A6" s="666" t="s">
        <v>961</v>
      </c>
      <c r="B6" s="667">
        <v>14.8</v>
      </c>
      <c r="C6" s="667">
        <v>246.41</v>
      </c>
      <c r="D6" s="667">
        <v>0</v>
      </c>
      <c r="E6" s="667">
        <v>0</v>
      </c>
      <c r="F6" s="668">
        <v>30054.87</v>
      </c>
      <c r="G6" s="668">
        <f t="shared" ref="G6:G26" si="0">G5+E6</f>
        <v>24604.880000000001</v>
      </c>
    </row>
    <row r="7" spans="1:7" s="669" customFormat="1" ht="15.6" customHeight="1" x14ac:dyDescent="0.2">
      <c r="A7" s="666" t="s">
        <v>962</v>
      </c>
      <c r="B7" s="667">
        <v>0</v>
      </c>
      <c r="C7" s="667">
        <v>74.989999999999995</v>
      </c>
      <c r="D7" s="667">
        <v>7.19</v>
      </c>
      <c r="E7" s="667">
        <v>0</v>
      </c>
      <c r="F7" s="668">
        <v>30129.87</v>
      </c>
      <c r="G7" s="668">
        <f t="shared" si="0"/>
        <v>24604.880000000001</v>
      </c>
    </row>
    <row r="8" spans="1:7" s="669" customFormat="1" ht="15.6" customHeight="1" x14ac:dyDescent="0.2">
      <c r="A8" s="666" t="s">
        <v>963</v>
      </c>
      <c r="B8" s="667">
        <v>0</v>
      </c>
      <c r="C8" s="667">
        <v>0</v>
      </c>
      <c r="D8" s="667">
        <v>38.79</v>
      </c>
      <c r="E8" s="667">
        <v>0</v>
      </c>
      <c r="F8" s="668">
        <v>30129.87</v>
      </c>
      <c r="G8" s="668">
        <f t="shared" si="0"/>
        <v>24604.880000000001</v>
      </c>
    </row>
    <row r="9" spans="1:7" s="669" customFormat="1" ht="15.6" customHeight="1" x14ac:dyDescent="0.2">
      <c r="A9" s="666" t="s">
        <v>964</v>
      </c>
      <c r="B9" s="667">
        <v>0</v>
      </c>
      <c r="C9" s="667">
        <v>0</v>
      </c>
      <c r="D9" s="667">
        <v>71.28</v>
      </c>
      <c r="E9" s="667">
        <v>0</v>
      </c>
      <c r="F9" s="668">
        <v>30129.87</v>
      </c>
      <c r="G9" s="668">
        <f t="shared" si="0"/>
        <v>24604.880000000001</v>
      </c>
    </row>
    <row r="10" spans="1:7" s="669" customFormat="1" ht="15.6" customHeight="1" x14ac:dyDescent="0.2">
      <c r="A10" s="666" t="s">
        <v>965</v>
      </c>
      <c r="B10" s="667">
        <v>0</v>
      </c>
      <c r="C10" s="667">
        <v>0</v>
      </c>
      <c r="D10" s="667">
        <v>92.85</v>
      </c>
      <c r="E10" s="667">
        <v>0</v>
      </c>
      <c r="F10" s="668">
        <v>30129.87</v>
      </c>
      <c r="G10" s="668">
        <f t="shared" si="0"/>
        <v>24604.880000000001</v>
      </c>
    </row>
    <row r="11" spans="1:7" s="669" customFormat="1" ht="15.6" customHeight="1" x14ac:dyDescent="0.2">
      <c r="A11" s="666" t="s">
        <v>966</v>
      </c>
      <c r="B11" s="667">
        <v>0</v>
      </c>
      <c r="C11" s="667">
        <v>0</v>
      </c>
      <c r="D11" s="667">
        <v>101.64</v>
      </c>
      <c r="E11" s="667">
        <v>0</v>
      </c>
      <c r="F11" s="668">
        <v>30129.87</v>
      </c>
      <c r="G11" s="668">
        <f t="shared" si="0"/>
        <v>24604.880000000001</v>
      </c>
    </row>
    <row r="12" spans="1:7" s="669" customFormat="1" ht="15.6" customHeight="1" x14ac:dyDescent="0.2">
      <c r="A12" s="666" t="s">
        <v>967</v>
      </c>
      <c r="B12" s="667">
        <v>0</v>
      </c>
      <c r="C12" s="667">
        <v>0</v>
      </c>
      <c r="D12" s="667">
        <v>101.79</v>
      </c>
      <c r="E12" s="667">
        <v>0</v>
      </c>
      <c r="F12" s="668">
        <v>30129.87</v>
      </c>
      <c r="G12" s="668">
        <f t="shared" si="0"/>
        <v>24604.880000000001</v>
      </c>
    </row>
    <row r="13" spans="1:7" s="669" customFormat="1" ht="15.6" customHeight="1" x14ac:dyDescent="0.2">
      <c r="A13" s="666" t="s">
        <v>968</v>
      </c>
      <c r="B13" s="667">
        <v>0</v>
      </c>
      <c r="C13" s="667">
        <v>0.03</v>
      </c>
      <c r="D13" s="667">
        <v>110.99</v>
      </c>
      <c r="E13" s="667">
        <v>0</v>
      </c>
      <c r="F13" s="668">
        <v>30129.89</v>
      </c>
      <c r="G13" s="668">
        <f t="shared" si="0"/>
        <v>24604.880000000001</v>
      </c>
    </row>
    <row r="14" spans="1:7" s="669" customFormat="1" ht="15.6" customHeight="1" x14ac:dyDescent="0.2">
      <c r="A14" s="666" t="s">
        <v>969</v>
      </c>
      <c r="B14" s="667">
        <v>0</v>
      </c>
      <c r="C14" s="667">
        <v>0.03</v>
      </c>
      <c r="D14" s="667">
        <v>121.39</v>
      </c>
      <c r="E14" s="667">
        <v>0</v>
      </c>
      <c r="F14" s="668">
        <v>30129.919999999998</v>
      </c>
      <c r="G14" s="668">
        <f t="shared" si="0"/>
        <v>24604.880000000001</v>
      </c>
    </row>
    <row r="15" spans="1:7" s="669" customFormat="1" ht="15.6" customHeight="1" x14ac:dyDescent="0.2">
      <c r="A15" s="666" t="s">
        <v>970</v>
      </c>
      <c r="B15" s="667">
        <v>0</v>
      </c>
      <c r="C15" s="667">
        <v>0</v>
      </c>
      <c r="D15" s="667">
        <v>133.41</v>
      </c>
      <c r="E15" s="667">
        <v>0</v>
      </c>
      <c r="F15" s="668">
        <v>30129.919999999998</v>
      </c>
      <c r="G15" s="668">
        <f t="shared" si="0"/>
        <v>24604.880000000001</v>
      </c>
    </row>
    <row r="16" spans="1:7" s="669" customFormat="1" ht="15.6" customHeight="1" x14ac:dyDescent="0.2">
      <c r="A16" s="666" t="s">
        <v>971</v>
      </c>
      <c r="B16" s="667">
        <v>0</v>
      </c>
      <c r="C16" s="667">
        <v>0</v>
      </c>
      <c r="D16" s="667">
        <v>140.41</v>
      </c>
      <c r="E16" s="667">
        <v>0</v>
      </c>
      <c r="F16" s="668">
        <v>30129.919999999998</v>
      </c>
      <c r="G16" s="668">
        <f t="shared" si="0"/>
        <v>24604.880000000001</v>
      </c>
    </row>
    <row r="17" spans="1:7" s="669" customFormat="1" ht="15.6" customHeight="1" x14ac:dyDescent="0.2">
      <c r="A17" s="666" t="s">
        <v>972</v>
      </c>
      <c r="B17" s="667">
        <v>0</v>
      </c>
      <c r="C17" s="667">
        <v>0</v>
      </c>
      <c r="D17" s="667">
        <v>116.38</v>
      </c>
      <c r="E17" s="667">
        <v>0</v>
      </c>
      <c r="F17" s="668">
        <v>30129.919999999998</v>
      </c>
      <c r="G17" s="668">
        <f t="shared" si="0"/>
        <v>24604.880000000001</v>
      </c>
    </row>
    <row r="18" spans="1:7" s="669" customFormat="1" ht="15.6" customHeight="1" x14ac:dyDescent="0.2">
      <c r="A18" s="666" t="s">
        <v>973</v>
      </c>
      <c r="B18" s="667">
        <v>0</v>
      </c>
      <c r="C18" s="667">
        <v>0</v>
      </c>
      <c r="D18" s="667">
        <v>83.82</v>
      </c>
      <c r="E18" s="667">
        <v>0</v>
      </c>
      <c r="F18" s="668">
        <v>30129.919999999998</v>
      </c>
      <c r="G18" s="668">
        <f t="shared" si="0"/>
        <v>24604.880000000001</v>
      </c>
    </row>
    <row r="19" spans="1:7" s="669" customFormat="1" ht="15.6" customHeight="1" x14ac:dyDescent="0.2">
      <c r="A19" s="666" t="s">
        <v>974</v>
      </c>
      <c r="B19" s="667">
        <v>0</v>
      </c>
      <c r="C19" s="667">
        <v>0</v>
      </c>
      <c r="D19" s="667">
        <v>59.04</v>
      </c>
      <c r="E19" s="667">
        <v>823.99</v>
      </c>
      <c r="F19" s="668">
        <v>30129.919999999998</v>
      </c>
      <c r="G19" s="668">
        <f t="shared" si="0"/>
        <v>25428.870000000003</v>
      </c>
    </row>
    <row r="20" spans="1:7" s="669" customFormat="1" ht="15.75" customHeight="1" x14ac:dyDescent="0.2">
      <c r="A20" s="666" t="s">
        <v>975</v>
      </c>
      <c r="B20" s="667">
        <v>0</v>
      </c>
      <c r="C20" s="667">
        <v>0</v>
      </c>
      <c r="D20" s="667">
        <v>41.31</v>
      </c>
      <c r="E20" s="667">
        <v>579.15</v>
      </c>
      <c r="F20" s="668">
        <v>30129.919999999998</v>
      </c>
      <c r="G20" s="668">
        <f t="shared" si="0"/>
        <v>26008.020000000004</v>
      </c>
    </row>
    <row r="21" spans="1:7" s="669" customFormat="1" ht="15.6" customHeight="1" x14ac:dyDescent="0.2">
      <c r="A21" s="666" t="s">
        <v>976</v>
      </c>
      <c r="B21" s="667">
        <v>0</v>
      </c>
      <c r="C21" s="667">
        <v>0</v>
      </c>
      <c r="D21" s="667">
        <v>27.02</v>
      </c>
      <c r="E21" s="667">
        <v>394.58</v>
      </c>
      <c r="F21" s="668">
        <v>30129.919999999998</v>
      </c>
      <c r="G21" s="668">
        <f>G20+E21</f>
        <v>26402.600000000006</v>
      </c>
    </row>
    <row r="22" spans="1:7" s="669" customFormat="1" ht="15.6" customHeight="1" x14ac:dyDescent="0.2">
      <c r="A22" s="666" t="s">
        <v>977</v>
      </c>
      <c r="B22" s="667">
        <v>0</v>
      </c>
      <c r="C22" s="667">
        <v>0</v>
      </c>
      <c r="D22" s="667">
        <v>19.03</v>
      </c>
      <c r="E22" s="667">
        <v>265.98</v>
      </c>
      <c r="F22" s="668">
        <v>30129.919999999998</v>
      </c>
      <c r="G22" s="668">
        <f t="shared" si="0"/>
        <v>26668.580000000005</v>
      </c>
    </row>
    <row r="23" spans="1:7" s="669" customFormat="1" ht="15.6" customHeight="1" x14ac:dyDescent="0.2">
      <c r="A23" s="666" t="s">
        <v>978</v>
      </c>
      <c r="B23" s="667">
        <v>0</v>
      </c>
      <c r="C23" s="667">
        <v>0</v>
      </c>
      <c r="D23" s="667">
        <v>14.54</v>
      </c>
      <c r="E23" s="667">
        <v>193.98</v>
      </c>
      <c r="F23" s="668">
        <v>30129.919999999998</v>
      </c>
      <c r="G23" s="668">
        <f t="shared" si="0"/>
        <v>26862.560000000005</v>
      </c>
    </row>
    <row r="24" spans="1:7" s="669" customFormat="1" ht="15.6" customHeight="1" x14ac:dyDescent="0.2">
      <c r="A24" s="666" t="s">
        <v>979</v>
      </c>
      <c r="B24" s="667">
        <v>0</v>
      </c>
      <c r="C24" s="667">
        <v>0</v>
      </c>
      <c r="D24" s="667">
        <v>11.11</v>
      </c>
      <c r="E24" s="667">
        <v>148.26</v>
      </c>
      <c r="F24" s="668">
        <v>30129.919999999998</v>
      </c>
      <c r="G24" s="668">
        <f t="shared" si="0"/>
        <v>27010.820000000003</v>
      </c>
    </row>
    <row r="25" spans="1:7" s="669" customFormat="1" ht="15.6" customHeight="1" x14ac:dyDescent="0.2">
      <c r="A25" s="666" t="s">
        <v>980</v>
      </c>
      <c r="B25" s="667">
        <v>0</v>
      </c>
      <c r="C25" s="667">
        <v>0</v>
      </c>
      <c r="D25" s="667">
        <v>7.51</v>
      </c>
      <c r="E25" s="667">
        <v>107.83</v>
      </c>
      <c r="F25" s="668">
        <v>30129.919999999998</v>
      </c>
      <c r="G25" s="668">
        <f t="shared" si="0"/>
        <v>27118.650000000005</v>
      </c>
    </row>
    <row r="26" spans="1:7" s="669" customFormat="1" ht="15.6" customHeight="1" x14ac:dyDescent="0.2">
      <c r="A26" s="666" t="s">
        <v>981</v>
      </c>
      <c r="B26" s="667">
        <v>0</v>
      </c>
      <c r="C26" s="667">
        <v>0</v>
      </c>
      <c r="D26" s="667">
        <v>6.17</v>
      </c>
      <c r="E26" s="667">
        <v>79.44</v>
      </c>
      <c r="F26" s="668">
        <v>30129.919999999998</v>
      </c>
      <c r="G26" s="668">
        <f t="shared" si="0"/>
        <v>27198.090000000004</v>
      </c>
    </row>
    <row r="27" spans="1:7" ht="15" customHeight="1" x14ac:dyDescent="0.2">
      <c r="A27" s="522" t="s">
        <v>982</v>
      </c>
      <c r="B27" s="523"/>
      <c r="C27" s="523"/>
      <c r="D27" s="523"/>
      <c r="E27" s="523"/>
      <c r="F27" s="523"/>
      <c r="G27" s="523"/>
    </row>
    <row r="28" spans="1:7" s="669" customFormat="1" ht="12.6" customHeight="1" x14ac:dyDescent="0.2">
      <c r="A28" s="670" t="s">
        <v>983</v>
      </c>
      <c r="B28" s="671">
        <v>3.69</v>
      </c>
      <c r="C28" s="671">
        <v>28.38</v>
      </c>
      <c r="D28" s="671">
        <v>0.01</v>
      </c>
      <c r="E28" s="671">
        <v>22.4</v>
      </c>
      <c r="F28" s="671">
        <v>567.82000000000005</v>
      </c>
      <c r="G28" s="671">
        <v>318.81</v>
      </c>
    </row>
    <row r="29" spans="1:7" s="669" customFormat="1" ht="12.6" customHeight="1" x14ac:dyDescent="0.2">
      <c r="A29" s="670" t="s">
        <v>984</v>
      </c>
      <c r="B29" s="671">
        <v>4.5599999999999996</v>
      </c>
      <c r="C29" s="671">
        <v>36.799999999999997</v>
      </c>
      <c r="D29" s="671">
        <v>0</v>
      </c>
      <c r="E29" s="671">
        <v>0.02</v>
      </c>
      <c r="F29" s="671">
        <v>604.62</v>
      </c>
      <c r="G29" s="671">
        <v>318.83</v>
      </c>
    </row>
    <row r="30" spans="1:7" s="669" customFormat="1" ht="12.6" customHeight="1" x14ac:dyDescent="0.2">
      <c r="A30" s="670" t="s">
        <v>985</v>
      </c>
      <c r="B30" s="671">
        <v>5.0199999999999996</v>
      </c>
      <c r="C30" s="671">
        <v>28.28</v>
      </c>
      <c r="D30" s="671">
        <v>0</v>
      </c>
      <c r="E30" s="671">
        <v>0</v>
      </c>
      <c r="F30" s="671">
        <v>632.9</v>
      </c>
      <c r="G30" s="671">
        <v>318.83</v>
      </c>
    </row>
    <row r="31" spans="1:7" s="669" customFormat="1" ht="12.6" customHeight="1" x14ac:dyDescent="0.2">
      <c r="A31" s="670" t="s">
        <v>986</v>
      </c>
      <c r="B31" s="671">
        <v>3.6</v>
      </c>
      <c r="C31" s="671">
        <v>56.6</v>
      </c>
      <c r="D31" s="671">
        <v>0.7</v>
      </c>
      <c r="E31" s="671">
        <v>5.24</v>
      </c>
      <c r="F31" s="671">
        <v>689.51</v>
      </c>
      <c r="G31" s="671">
        <v>324.07</v>
      </c>
    </row>
    <row r="32" spans="1:7" s="669" customFormat="1" ht="12.6" customHeight="1" x14ac:dyDescent="0.2">
      <c r="A32" s="670" t="s">
        <v>987</v>
      </c>
      <c r="B32" s="671">
        <v>3.47</v>
      </c>
      <c r="C32" s="671">
        <v>35.29</v>
      </c>
      <c r="D32" s="671">
        <v>0.81</v>
      </c>
      <c r="E32" s="671">
        <v>9.18</v>
      </c>
      <c r="F32" s="671">
        <v>724.8</v>
      </c>
      <c r="G32" s="671">
        <v>333.25</v>
      </c>
    </row>
    <row r="33" spans="1:7" s="669" customFormat="1" ht="12.6" customHeight="1" x14ac:dyDescent="0.2">
      <c r="A33" s="670" t="s">
        <v>988</v>
      </c>
      <c r="B33" s="671">
        <v>3.1</v>
      </c>
      <c r="C33" s="671">
        <v>32.76</v>
      </c>
      <c r="D33" s="671">
        <v>0.81</v>
      </c>
      <c r="E33" s="671">
        <v>9.77</v>
      </c>
      <c r="F33" s="671">
        <v>757.55</v>
      </c>
      <c r="G33" s="671">
        <v>343.02</v>
      </c>
    </row>
    <row r="34" spans="1:7" s="669" customFormat="1" ht="12.6" customHeight="1" x14ac:dyDescent="0.2">
      <c r="A34" s="670" t="s">
        <v>989</v>
      </c>
      <c r="B34" s="671">
        <v>2.76</v>
      </c>
      <c r="C34" s="671">
        <v>29.2</v>
      </c>
      <c r="D34" s="671">
        <v>0.54</v>
      </c>
      <c r="E34" s="671">
        <v>8.08</v>
      </c>
      <c r="F34" s="671">
        <v>786.75</v>
      </c>
      <c r="G34" s="671">
        <v>351.1</v>
      </c>
    </row>
    <row r="35" spans="1:7" s="669" customFormat="1" ht="12.6" customHeight="1" x14ac:dyDescent="0.2">
      <c r="A35" s="670" t="s">
        <v>990</v>
      </c>
      <c r="B35" s="671">
        <v>2.46</v>
      </c>
      <c r="C35" s="671">
        <v>25.99</v>
      </c>
      <c r="D35" s="671">
        <v>0.65</v>
      </c>
      <c r="E35" s="671">
        <v>7.12</v>
      </c>
      <c r="F35" s="671">
        <v>812.74</v>
      </c>
      <c r="G35" s="671">
        <v>358.22</v>
      </c>
    </row>
    <row r="36" spans="1:7" s="669" customFormat="1" ht="12.6" customHeight="1" x14ac:dyDescent="0.2">
      <c r="A36" s="670" t="s">
        <v>991</v>
      </c>
      <c r="B36" s="671">
        <v>2.99</v>
      </c>
      <c r="C36" s="671">
        <v>27.16</v>
      </c>
      <c r="D36" s="671">
        <v>0.78</v>
      </c>
      <c r="E36" s="671">
        <v>8.5500000000000007</v>
      </c>
      <c r="F36" s="671">
        <v>839.91</v>
      </c>
      <c r="G36" s="671">
        <v>366.77</v>
      </c>
    </row>
    <row r="37" spans="1:7" s="669" customFormat="1" ht="12.6" customHeight="1" x14ac:dyDescent="0.2">
      <c r="A37" s="670" t="s">
        <v>992</v>
      </c>
      <c r="B37" s="671">
        <v>3.98</v>
      </c>
      <c r="C37" s="671">
        <v>34.79</v>
      </c>
      <c r="D37" s="671">
        <v>0.82</v>
      </c>
      <c r="E37" s="671">
        <v>9.56</v>
      </c>
      <c r="F37" s="671">
        <v>874.69</v>
      </c>
      <c r="G37" s="671">
        <v>376.33</v>
      </c>
    </row>
    <row r="38" spans="1:7" s="669" customFormat="1" ht="12.6" customHeight="1" x14ac:dyDescent="0.2">
      <c r="A38" s="670" t="s">
        <v>993</v>
      </c>
      <c r="B38" s="671">
        <v>13.9</v>
      </c>
      <c r="C38" s="671">
        <v>89.07</v>
      </c>
      <c r="D38" s="671">
        <v>0.14000000000000001</v>
      </c>
      <c r="E38" s="671">
        <v>5.78</v>
      </c>
      <c r="F38" s="671">
        <v>963.76</v>
      </c>
      <c r="G38" s="671">
        <v>382.11</v>
      </c>
    </row>
    <row r="39" spans="1:7" s="669" customFormat="1" ht="12.6" customHeight="1" x14ac:dyDescent="0.2">
      <c r="A39" s="670" t="s">
        <v>994</v>
      </c>
      <c r="B39" s="671">
        <v>11.69</v>
      </c>
      <c r="C39" s="671">
        <v>127.88</v>
      </c>
      <c r="D39" s="671">
        <v>0.72</v>
      </c>
      <c r="E39" s="671">
        <v>5.32</v>
      </c>
      <c r="F39" s="672">
        <v>1091.6400000000001</v>
      </c>
      <c r="G39" s="671">
        <v>387.44</v>
      </c>
    </row>
    <row r="40" spans="1:7" s="669" customFormat="1" ht="13.5" customHeight="1" x14ac:dyDescent="0.2">
      <c r="A40" s="670" t="s">
        <v>995</v>
      </c>
      <c r="B40" s="671">
        <v>4.96</v>
      </c>
      <c r="C40" s="671">
        <v>116.78</v>
      </c>
      <c r="D40" s="671">
        <v>1.85</v>
      </c>
      <c r="E40" s="671">
        <v>21.08</v>
      </c>
      <c r="F40" s="673">
        <f>SUM(C28:C40)</f>
        <v>668.98</v>
      </c>
      <c r="G40" s="674">
        <f>SUM(D28:D40)</f>
        <v>7.83</v>
      </c>
    </row>
    <row r="41" spans="1:7" s="669" customFormat="1" ht="15" customHeight="1" x14ac:dyDescent="0.2">
      <c r="A41" s="675" t="s">
        <v>996</v>
      </c>
      <c r="B41" s="676"/>
      <c r="C41" s="676"/>
      <c r="D41" s="676"/>
      <c r="E41" s="676"/>
      <c r="F41" s="676"/>
      <c r="G41" s="676"/>
    </row>
    <row r="42" spans="1:7" s="669" customFormat="1" ht="12.75" customHeight="1" x14ac:dyDescent="0.2">
      <c r="A42" s="670" t="s">
        <v>997</v>
      </c>
      <c r="B42" s="671">
        <v>1.9</v>
      </c>
      <c r="C42" s="671">
        <v>0</v>
      </c>
      <c r="D42" s="671">
        <v>0</v>
      </c>
      <c r="E42" s="671">
        <v>0</v>
      </c>
      <c r="F42" s="671">
        <v>0</v>
      </c>
      <c r="G42" s="671">
        <v>0</v>
      </c>
    </row>
    <row r="43" spans="1:7" s="669" customFormat="1" ht="12.6" customHeight="1" x14ac:dyDescent="0.2">
      <c r="A43" s="670" t="s">
        <v>998</v>
      </c>
      <c r="B43" s="671">
        <v>1.95</v>
      </c>
      <c r="C43" s="671">
        <v>19.25</v>
      </c>
      <c r="D43" s="671">
        <v>0</v>
      </c>
      <c r="E43" s="671">
        <v>0</v>
      </c>
      <c r="F43" s="671">
        <v>19.25</v>
      </c>
      <c r="G43" s="671">
        <v>0</v>
      </c>
    </row>
    <row r="44" spans="1:7" s="669" customFormat="1" ht="12.6" customHeight="1" x14ac:dyDescent="0.2">
      <c r="A44" s="670" t="s">
        <v>999</v>
      </c>
      <c r="B44" s="671">
        <v>1.85</v>
      </c>
      <c r="C44" s="671">
        <v>18.97</v>
      </c>
      <c r="D44" s="671">
        <v>0</v>
      </c>
      <c r="E44" s="671">
        <v>0</v>
      </c>
      <c r="F44" s="671">
        <v>38.229999999999997</v>
      </c>
      <c r="G44" s="671">
        <v>0</v>
      </c>
    </row>
    <row r="45" spans="1:7" s="669" customFormat="1" ht="12.6" customHeight="1" x14ac:dyDescent="0.2">
      <c r="A45" s="670" t="s">
        <v>1000</v>
      </c>
      <c r="B45" s="671">
        <v>2.06</v>
      </c>
      <c r="C45" s="671">
        <v>19.760000000000002</v>
      </c>
      <c r="D45" s="671">
        <v>0</v>
      </c>
      <c r="E45" s="671">
        <v>0</v>
      </c>
      <c r="F45" s="671">
        <v>57.98</v>
      </c>
      <c r="G45" s="671">
        <v>0</v>
      </c>
    </row>
    <row r="46" spans="1:7" s="669" customFormat="1" ht="12.6" customHeight="1" x14ac:dyDescent="0.2">
      <c r="A46" s="670" t="s">
        <v>1001</v>
      </c>
      <c r="B46" s="671">
        <v>1.51</v>
      </c>
      <c r="C46" s="671">
        <v>17.670000000000002</v>
      </c>
      <c r="D46" s="671">
        <v>0.3</v>
      </c>
      <c r="E46" s="671">
        <v>1.74</v>
      </c>
      <c r="F46" s="671">
        <v>75.650000000000006</v>
      </c>
      <c r="G46" s="671">
        <v>1.74</v>
      </c>
    </row>
    <row r="47" spans="1:7" s="669" customFormat="1" ht="12.6" customHeight="1" x14ac:dyDescent="0.2">
      <c r="A47" s="670" t="s">
        <v>1002</v>
      </c>
      <c r="B47" s="671">
        <v>1.22</v>
      </c>
      <c r="C47" s="671">
        <v>13.65</v>
      </c>
      <c r="D47" s="671">
        <v>0.88</v>
      </c>
      <c r="E47" s="671">
        <v>6.86</v>
      </c>
      <c r="F47" s="671">
        <v>89.3</v>
      </c>
      <c r="G47" s="671">
        <v>8.6</v>
      </c>
    </row>
    <row r="48" spans="1:7" s="669" customFormat="1" ht="12.6" customHeight="1" x14ac:dyDescent="0.2">
      <c r="A48" s="670" t="s">
        <v>1003</v>
      </c>
      <c r="B48" s="671">
        <v>1</v>
      </c>
      <c r="C48" s="671">
        <v>11.1</v>
      </c>
      <c r="D48" s="671">
        <v>1.46</v>
      </c>
      <c r="E48" s="671">
        <v>13.62</v>
      </c>
      <c r="F48" s="671">
        <v>100.4</v>
      </c>
      <c r="G48" s="671">
        <v>22.22</v>
      </c>
    </row>
    <row r="49" spans="1:7" s="669" customFormat="1" ht="12.6" customHeight="1" x14ac:dyDescent="0.2">
      <c r="A49" s="670" t="s">
        <v>1004</v>
      </c>
      <c r="B49" s="671">
        <v>0.91</v>
      </c>
      <c r="C49" s="671">
        <v>9.5399999999999991</v>
      </c>
      <c r="D49" s="671">
        <v>0.36</v>
      </c>
      <c r="E49" s="671">
        <v>10.46</v>
      </c>
      <c r="F49" s="671">
        <v>109.94</v>
      </c>
      <c r="G49" s="671">
        <v>32.68</v>
      </c>
    </row>
    <row r="50" spans="1:7" s="669" customFormat="1" ht="13.5" customHeight="1" x14ac:dyDescent="0.2">
      <c r="A50" s="670" t="s">
        <v>1005</v>
      </c>
      <c r="B50" s="671">
        <v>0.46</v>
      </c>
      <c r="C50" s="671">
        <v>4.25</v>
      </c>
      <c r="D50" s="671">
        <v>0</v>
      </c>
      <c r="E50" s="671">
        <v>1.3</v>
      </c>
      <c r="F50" s="674">
        <v>114.19</v>
      </c>
      <c r="G50" s="674">
        <v>33.97</v>
      </c>
    </row>
    <row r="51" spans="1:7" s="669" customFormat="1" ht="15" customHeight="1" x14ac:dyDescent="0.2">
      <c r="A51" s="675" t="s">
        <v>1006</v>
      </c>
      <c r="B51" s="676"/>
      <c r="C51" s="676"/>
      <c r="D51" s="676"/>
      <c r="E51" s="676"/>
      <c r="F51" s="676"/>
      <c r="G51" s="676"/>
    </row>
    <row r="52" spans="1:7" s="669" customFormat="1" ht="12.75" customHeight="1" x14ac:dyDescent="0.2">
      <c r="A52" s="670" t="s">
        <v>997</v>
      </c>
      <c r="B52" s="671">
        <v>1.78</v>
      </c>
      <c r="C52" s="671">
        <v>0</v>
      </c>
      <c r="D52" s="671">
        <v>0</v>
      </c>
      <c r="E52" s="671">
        <v>0</v>
      </c>
      <c r="F52" s="671">
        <v>0</v>
      </c>
      <c r="G52" s="671">
        <v>0</v>
      </c>
    </row>
    <row r="53" spans="1:7" s="669" customFormat="1" ht="12.6" customHeight="1" x14ac:dyDescent="0.2">
      <c r="A53" s="670" t="s">
        <v>998</v>
      </c>
      <c r="B53" s="671">
        <v>1.82</v>
      </c>
      <c r="C53" s="671">
        <v>17.920000000000002</v>
      </c>
      <c r="D53" s="671">
        <v>0</v>
      </c>
      <c r="E53" s="671">
        <v>0</v>
      </c>
      <c r="F53" s="671">
        <v>17.920000000000002</v>
      </c>
      <c r="G53" s="671">
        <v>0</v>
      </c>
    </row>
    <row r="54" spans="1:7" s="669" customFormat="1" ht="12.6" customHeight="1" x14ac:dyDescent="0.2">
      <c r="A54" s="670" t="s">
        <v>999</v>
      </c>
      <c r="B54" s="671">
        <v>1.8</v>
      </c>
      <c r="C54" s="671">
        <v>18.059999999999999</v>
      </c>
      <c r="D54" s="671">
        <v>0</v>
      </c>
      <c r="E54" s="671">
        <v>0</v>
      </c>
      <c r="F54" s="671">
        <v>35.979999999999997</v>
      </c>
      <c r="G54" s="671">
        <v>0</v>
      </c>
    </row>
    <row r="55" spans="1:7" s="669" customFormat="1" ht="12.6" customHeight="1" x14ac:dyDescent="0.2">
      <c r="A55" s="670" t="s">
        <v>1007</v>
      </c>
      <c r="B55" s="671">
        <v>1.94</v>
      </c>
      <c r="C55" s="671">
        <v>18.7</v>
      </c>
      <c r="D55" s="671">
        <v>0</v>
      </c>
      <c r="E55" s="671">
        <v>0</v>
      </c>
      <c r="F55" s="671">
        <v>54.68</v>
      </c>
      <c r="G55" s="671">
        <v>0</v>
      </c>
    </row>
    <row r="56" spans="1:7" s="669" customFormat="1" ht="12.6" customHeight="1" x14ac:dyDescent="0.2">
      <c r="A56" s="670" t="s">
        <v>1001</v>
      </c>
      <c r="B56" s="671">
        <v>0.93</v>
      </c>
      <c r="C56" s="671">
        <v>14.37</v>
      </c>
      <c r="D56" s="671">
        <v>0.44</v>
      </c>
      <c r="E56" s="671">
        <v>2.57</v>
      </c>
      <c r="F56" s="671">
        <v>69.05</v>
      </c>
      <c r="G56" s="671">
        <v>2.57</v>
      </c>
    </row>
    <row r="57" spans="1:7" s="669" customFormat="1" ht="12.6" customHeight="1" x14ac:dyDescent="0.2">
      <c r="A57" s="670" t="s">
        <v>1002</v>
      </c>
      <c r="B57" s="671">
        <v>0.98</v>
      </c>
      <c r="C57" s="671">
        <v>9.58</v>
      </c>
      <c r="D57" s="671">
        <v>1.27</v>
      </c>
      <c r="E57" s="671">
        <v>10.050000000000001</v>
      </c>
      <c r="F57" s="671">
        <v>78.63</v>
      </c>
      <c r="G57" s="671">
        <v>12.62</v>
      </c>
    </row>
    <row r="58" spans="1:7" s="669" customFormat="1" ht="13.35" customHeight="1" x14ac:dyDescent="0.2">
      <c r="A58" s="670" t="s">
        <v>1003</v>
      </c>
      <c r="B58" s="671">
        <v>1.1399999999999999</v>
      </c>
      <c r="C58" s="671">
        <v>10.59</v>
      </c>
      <c r="D58" s="671">
        <v>2.5</v>
      </c>
      <c r="E58" s="671">
        <v>22.38</v>
      </c>
      <c r="F58" s="671">
        <v>89.22</v>
      </c>
      <c r="G58" s="671">
        <v>35</v>
      </c>
    </row>
    <row r="59" spans="1:7" s="669" customFormat="1" ht="12.6" customHeight="1" x14ac:dyDescent="0.2">
      <c r="A59" s="670" t="s">
        <v>1004</v>
      </c>
      <c r="B59" s="671">
        <v>1.47</v>
      </c>
      <c r="C59" s="671">
        <v>13.01</v>
      </c>
      <c r="D59" s="671">
        <v>0.18</v>
      </c>
      <c r="E59" s="671">
        <v>15.92</v>
      </c>
      <c r="F59" s="671">
        <v>102.23</v>
      </c>
      <c r="G59" s="671">
        <v>50.92</v>
      </c>
    </row>
    <row r="60" spans="1:7" s="669" customFormat="1" ht="13.5" customHeight="1" x14ac:dyDescent="0.2">
      <c r="A60" s="670" t="s">
        <v>1008</v>
      </c>
      <c r="B60" s="671">
        <v>0.94</v>
      </c>
      <c r="C60" s="671">
        <v>5.86</v>
      </c>
      <c r="D60" s="671">
        <v>0</v>
      </c>
      <c r="E60" s="671">
        <v>0.49</v>
      </c>
      <c r="F60" s="674">
        <v>108.09</v>
      </c>
      <c r="G60" s="674">
        <v>51.41</v>
      </c>
    </row>
    <row r="61" spans="1:7" s="669" customFormat="1" ht="15" customHeight="1" x14ac:dyDescent="0.2">
      <c r="A61" s="675" t="s">
        <v>1009</v>
      </c>
      <c r="B61" s="676"/>
      <c r="C61" s="676"/>
      <c r="D61" s="676"/>
      <c r="E61" s="676"/>
      <c r="F61" s="676"/>
      <c r="G61" s="676"/>
    </row>
    <row r="62" spans="1:7" s="669" customFormat="1" ht="12.75" customHeight="1" x14ac:dyDescent="0.2">
      <c r="A62" s="670" t="s">
        <v>997</v>
      </c>
      <c r="B62" s="671">
        <v>0.92</v>
      </c>
      <c r="C62" s="671">
        <v>0</v>
      </c>
      <c r="D62" s="671">
        <v>0</v>
      </c>
      <c r="E62" s="671">
        <v>0</v>
      </c>
      <c r="F62" s="671">
        <v>0</v>
      </c>
      <c r="G62" s="671">
        <v>0</v>
      </c>
    </row>
    <row r="63" spans="1:7" s="669" customFormat="1" ht="12.6" customHeight="1" x14ac:dyDescent="0.2">
      <c r="A63" s="670" t="s">
        <v>1010</v>
      </c>
      <c r="B63" s="671">
        <v>1.78</v>
      </c>
      <c r="C63" s="671">
        <v>8.31</v>
      </c>
      <c r="D63" s="671">
        <v>0.32</v>
      </c>
      <c r="E63" s="671">
        <v>1.1399999999999999</v>
      </c>
      <c r="F63" s="671">
        <v>8.31</v>
      </c>
      <c r="G63" s="671">
        <v>1.1399999999999999</v>
      </c>
    </row>
    <row r="64" spans="1:7" s="669" customFormat="1" ht="12.6" customHeight="1" x14ac:dyDescent="0.2">
      <c r="A64" s="670" t="s">
        <v>998</v>
      </c>
      <c r="B64" s="671">
        <v>1.74</v>
      </c>
      <c r="C64" s="671">
        <v>6.74</v>
      </c>
      <c r="D64" s="671">
        <v>1.92</v>
      </c>
      <c r="E64" s="671">
        <v>4.9400000000000004</v>
      </c>
      <c r="F64" s="671">
        <v>15.06</v>
      </c>
      <c r="G64" s="671">
        <v>6.08</v>
      </c>
    </row>
    <row r="65" spans="1:7" s="669" customFormat="1" ht="12.6" customHeight="1" x14ac:dyDescent="0.2">
      <c r="A65" s="670" t="s">
        <v>999</v>
      </c>
      <c r="B65" s="671">
        <v>1.86</v>
      </c>
      <c r="C65" s="671">
        <v>17.989999999999998</v>
      </c>
      <c r="D65" s="671">
        <v>1.02</v>
      </c>
      <c r="E65" s="671">
        <v>17.18</v>
      </c>
      <c r="F65" s="671">
        <v>33.049999999999997</v>
      </c>
      <c r="G65" s="671">
        <v>23.26</v>
      </c>
    </row>
    <row r="66" spans="1:7" s="669" customFormat="1" ht="12.6" customHeight="1" x14ac:dyDescent="0.2">
      <c r="A66" s="670" t="s">
        <v>1007</v>
      </c>
      <c r="B66" s="671">
        <v>2.1</v>
      </c>
      <c r="C66" s="671">
        <v>19.79</v>
      </c>
      <c r="D66" s="671">
        <v>0.37</v>
      </c>
      <c r="E66" s="671">
        <v>8.11</v>
      </c>
      <c r="F66" s="671">
        <v>52.83</v>
      </c>
      <c r="G66" s="671">
        <v>31.37</v>
      </c>
    </row>
    <row r="67" spans="1:7" s="669" customFormat="1" ht="12.6" customHeight="1" x14ac:dyDescent="0.2">
      <c r="A67" s="670" t="s">
        <v>1001</v>
      </c>
      <c r="B67" s="671">
        <v>1.75</v>
      </c>
      <c r="C67" s="671">
        <v>19.22</v>
      </c>
      <c r="D67" s="671">
        <v>0.09</v>
      </c>
      <c r="E67" s="671">
        <v>2.67</v>
      </c>
      <c r="F67" s="671">
        <v>72.05</v>
      </c>
      <c r="G67" s="671">
        <v>34.04</v>
      </c>
    </row>
    <row r="68" spans="1:7" s="669" customFormat="1" ht="12.6" customHeight="1" x14ac:dyDescent="0.2">
      <c r="A68" s="670" t="s">
        <v>1011</v>
      </c>
      <c r="B68" s="671">
        <v>1.61</v>
      </c>
      <c r="C68" s="671">
        <v>6.1</v>
      </c>
      <c r="D68" s="671">
        <v>0</v>
      </c>
      <c r="E68" s="671">
        <v>0.18</v>
      </c>
      <c r="F68" s="671">
        <v>78.150000000000006</v>
      </c>
      <c r="G68" s="671">
        <v>34.229999999999997</v>
      </c>
    </row>
    <row r="69" spans="1:7" s="669" customFormat="1" ht="12.6" customHeight="1" x14ac:dyDescent="0.2">
      <c r="A69" s="670" t="s">
        <v>1003</v>
      </c>
      <c r="B69" s="671">
        <v>1.75</v>
      </c>
      <c r="C69" s="671">
        <v>27.5</v>
      </c>
      <c r="D69" s="671">
        <v>0</v>
      </c>
      <c r="E69" s="671">
        <v>0</v>
      </c>
      <c r="F69" s="671">
        <v>105.65</v>
      </c>
      <c r="G69" s="671">
        <v>34.229999999999997</v>
      </c>
    </row>
    <row r="70" spans="1:7" s="669" customFormat="1" ht="13.5" customHeight="1" x14ac:dyDescent="0.2">
      <c r="A70" s="670" t="s">
        <v>1012</v>
      </c>
      <c r="B70" s="671">
        <v>1.84</v>
      </c>
      <c r="C70" s="671">
        <v>24.55</v>
      </c>
      <c r="D70" s="671">
        <v>0</v>
      </c>
      <c r="E70" s="671">
        <v>0</v>
      </c>
      <c r="F70" s="674">
        <v>130.19999999999999</v>
      </c>
      <c r="G70" s="674">
        <v>34.229999999999997</v>
      </c>
    </row>
    <row r="71" spans="1:7" s="669" customFormat="1" ht="15" customHeight="1" x14ac:dyDescent="0.2">
      <c r="A71" s="675" t="s">
        <v>1013</v>
      </c>
      <c r="B71" s="676"/>
      <c r="C71" s="676"/>
      <c r="D71" s="676"/>
      <c r="E71" s="676"/>
      <c r="F71" s="676"/>
      <c r="G71" s="676"/>
    </row>
    <row r="72" spans="1:7" s="669" customFormat="1" ht="12.75" customHeight="1" x14ac:dyDescent="0.2">
      <c r="A72" s="670" t="s">
        <v>997</v>
      </c>
      <c r="B72" s="671">
        <v>0</v>
      </c>
      <c r="C72" s="671">
        <v>0</v>
      </c>
      <c r="D72" s="671">
        <v>1.08</v>
      </c>
      <c r="E72" s="671">
        <v>0</v>
      </c>
      <c r="F72" s="671">
        <v>0</v>
      </c>
      <c r="G72" s="671">
        <v>0</v>
      </c>
    </row>
    <row r="73" spans="1:7" s="669" customFormat="1" ht="12.6" customHeight="1" x14ac:dyDescent="0.2">
      <c r="A73" s="670" t="s">
        <v>1014</v>
      </c>
      <c r="B73" s="671">
        <v>0</v>
      </c>
      <c r="C73" s="671">
        <v>0</v>
      </c>
      <c r="D73" s="671">
        <v>6.06</v>
      </c>
      <c r="E73" s="671">
        <v>23.73</v>
      </c>
      <c r="F73" s="671">
        <v>0</v>
      </c>
      <c r="G73" s="671">
        <v>23.73</v>
      </c>
    </row>
    <row r="74" spans="1:7" s="669" customFormat="1" ht="12.6" customHeight="1" x14ac:dyDescent="0.2">
      <c r="A74" s="670" t="s">
        <v>998</v>
      </c>
      <c r="B74" s="671">
        <v>0</v>
      </c>
      <c r="C74" s="671">
        <v>0</v>
      </c>
      <c r="D74" s="671">
        <v>11.96</v>
      </c>
      <c r="E74" s="671">
        <v>44.28</v>
      </c>
      <c r="F74" s="671">
        <v>0</v>
      </c>
      <c r="G74" s="671">
        <v>68.010000000000005</v>
      </c>
    </row>
    <row r="75" spans="1:7" s="669" customFormat="1" ht="12.6" customHeight="1" x14ac:dyDescent="0.2">
      <c r="A75" s="670" t="s">
        <v>999</v>
      </c>
      <c r="B75" s="671">
        <v>0</v>
      </c>
      <c r="C75" s="671">
        <v>0</v>
      </c>
      <c r="D75" s="671">
        <v>6.83</v>
      </c>
      <c r="E75" s="671">
        <v>109.34</v>
      </c>
      <c r="F75" s="671">
        <v>0</v>
      </c>
      <c r="G75" s="671">
        <v>177.35</v>
      </c>
    </row>
    <row r="76" spans="1:7" s="669" customFormat="1" ht="12.6" customHeight="1" x14ac:dyDescent="0.2">
      <c r="A76" s="670" t="s">
        <v>1007</v>
      </c>
      <c r="B76" s="671">
        <v>0.4</v>
      </c>
      <c r="C76" s="671">
        <v>2.0099999999999998</v>
      </c>
      <c r="D76" s="671">
        <v>2.91</v>
      </c>
      <c r="E76" s="671">
        <v>55.77</v>
      </c>
      <c r="F76" s="671">
        <v>2.0099999999999998</v>
      </c>
      <c r="G76" s="671">
        <v>233.12</v>
      </c>
    </row>
    <row r="77" spans="1:7" s="669" customFormat="1" ht="12.6" customHeight="1" x14ac:dyDescent="0.2">
      <c r="A77" s="670" t="s">
        <v>1001</v>
      </c>
      <c r="B77" s="671">
        <v>1.24</v>
      </c>
      <c r="C77" s="671">
        <v>8.24</v>
      </c>
      <c r="D77" s="671">
        <v>0.39</v>
      </c>
      <c r="E77" s="671">
        <v>18.66</v>
      </c>
      <c r="F77" s="671">
        <v>10.25</v>
      </c>
      <c r="G77" s="671">
        <v>251.78</v>
      </c>
    </row>
    <row r="78" spans="1:7" s="669" customFormat="1" ht="12.6" customHeight="1" x14ac:dyDescent="0.2">
      <c r="A78" s="670" t="s">
        <v>1002</v>
      </c>
      <c r="B78" s="671">
        <v>1.85</v>
      </c>
      <c r="C78" s="671">
        <v>15.45</v>
      </c>
      <c r="D78" s="671">
        <v>0</v>
      </c>
      <c r="E78" s="671">
        <v>2.21</v>
      </c>
      <c r="F78" s="671">
        <v>25.7</v>
      </c>
      <c r="G78" s="671">
        <v>253.98</v>
      </c>
    </row>
    <row r="79" spans="1:7" s="669" customFormat="1" ht="12.6" customHeight="1" x14ac:dyDescent="0.2">
      <c r="A79" s="670" t="s">
        <v>1003</v>
      </c>
      <c r="B79" s="671">
        <v>1.98</v>
      </c>
      <c r="C79" s="671">
        <v>19.079999999999998</v>
      </c>
      <c r="D79" s="671">
        <v>0</v>
      </c>
      <c r="E79" s="671">
        <v>0</v>
      </c>
      <c r="F79" s="671">
        <v>44.78</v>
      </c>
      <c r="G79" s="671">
        <v>253.98</v>
      </c>
    </row>
    <row r="80" spans="1:7" s="669" customFormat="1" ht="12.6" customHeight="1" x14ac:dyDescent="0.2">
      <c r="A80" s="670" t="s">
        <v>1015</v>
      </c>
      <c r="B80" s="671">
        <v>1.95</v>
      </c>
      <c r="C80" s="671">
        <v>10.02</v>
      </c>
      <c r="D80" s="671">
        <v>0</v>
      </c>
      <c r="E80" s="671">
        <v>0</v>
      </c>
      <c r="F80" s="671">
        <v>54.8</v>
      </c>
      <c r="G80" s="671">
        <v>253.98</v>
      </c>
    </row>
    <row r="81" spans="1:7" s="669" customFormat="1" ht="13.5" customHeight="1" x14ac:dyDescent="0.2">
      <c r="A81" s="670" t="s">
        <v>1016</v>
      </c>
      <c r="B81" s="671">
        <v>1.98</v>
      </c>
      <c r="C81" s="671">
        <v>14.26</v>
      </c>
      <c r="D81" s="671">
        <v>0</v>
      </c>
      <c r="E81" s="671">
        <v>0</v>
      </c>
      <c r="F81" s="674">
        <v>69.06</v>
      </c>
      <c r="G81" s="674">
        <v>253.98</v>
      </c>
    </row>
    <row r="82" spans="1:7" s="669" customFormat="1" ht="15" customHeight="1" x14ac:dyDescent="0.2">
      <c r="A82" s="675" t="s">
        <v>1017</v>
      </c>
      <c r="B82" s="676"/>
      <c r="C82" s="676"/>
      <c r="D82" s="676"/>
      <c r="E82" s="676"/>
      <c r="F82" s="676"/>
      <c r="G82" s="676"/>
    </row>
    <row r="83" spans="1:7" s="669" customFormat="1" ht="12.75" customHeight="1" x14ac:dyDescent="0.2">
      <c r="A83" s="670" t="s">
        <v>997</v>
      </c>
      <c r="B83" s="671">
        <v>0.36</v>
      </c>
      <c r="C83" s="671">
        <v>0</v>
      </c>
      <c r="D83" s="671">
        <v>0</v>
      </c>
      <c r="E83" s="671">
        <v>0</v>
      </c>
      <c r="F83" s="671">
        <v>0</v>
      </c>
      <c r="G83" s="671">
        <v>0</v>
      </c>
    </row>
    <row r="84" spans="1:7" s="669" customFormat="1" ht="12.6" customHeight="1" x14ac:dyDescent="0.2">
      <c r="A84" s="670" t="s">
        <v>998</v>
      </c>
      <c r="B84" s="671">
        <v>0.81</v>
      </c>
      <c r="C84" s="671">
        <v>5.69</v>
      </c>
      <c r="D84" s="671">
        <v>0.28000000000000003</v>
      </c>
      <c r="E84" s="671">
        <v>1.81</v>
      </c>
      <c r="F84" s="671">
        <v>5.69</v>
      </c>
      <c r="G84" s="671">
        <v>1.81</v>
      </c>
    </row>
    <row r="85" spans="1:7" s="669" customFormat="1" ht="12.6" customHeight="1" x14ac:dyDescent="0.2">
      <c r="A85" s="670" t="s">
        <v>1018</v>
      </c>
      <c r="B85" s="671">
        <v>1.21</v>
      </c>
      <c r="C85" s="671">
        <v>4.97</v>
      </c>
      <c r="D85" s="671">
        <v>1.24</v>
      </c>
      <c r="E85" s="671">
        <v>5.22</v>
      </c>
      <c r="F85" s="671">
        <v>10.66</v>
      </c>
      <c r="G85" s="671">
        <v>7.03</v>
      </c>
    </row>
    <row r="86" spans="1:7" s="669" customFormat="1" ht="12.6" customHeight="1" x14ac:dyDescent="0.2">
      <c r="A86" s="670" t="s">
        <v>999</v>
      </c>
      <c r="B86" s="671">
        <v>1.5</v>
      </c>
      <c r="C86" s="671">
        <v>6.7</v>
      </c>
      <c r="D86" s="671">
        <v>0.31</v>
      </c>
      <c r="E86" s="671">
        <v>5.34</v>
      </c>
      <c r="F86" s="671">
        <v>17.36</v>
      </c>
      <c r="G86" s="671">
        <v>12.37</v>
      </c>
    </row>
    <row r="87" spans="1:7" s="669" customFormat="1" ht="13.5" customHeight="1" x14ac:dyDescent="0.2">
      <c r="A87" s="670" t="s">
        <v>1019</v>
      </c>
      <c r="B87" s="671">
        <v>1.03</v>
      </c>
      <c r="C87" s="671">
        <v>10.1</v>
      </c>
      <c r="D87" s="671">
        <v>0</v>
      </c>
      <c r="E87" s="671">
        <v>1.71</v>
      </c>
      <c r="F87" s="674">
        <v>27.45</v>
      </c>
      <c r="G87" s="674">
        <v>14.08</v>
      </c>
    </row>
    <row r="88" spans="1:7" s="669" customFormat="1" ht="15" customHeight="1" x14ac:dyDescent="0.2">
      <c r="A88" s="675" t="s">
        <v>1020</v>
      </c>
      <c r="B88" s="676"/>
      <c r="C88" s="676"/>
      <c r="D88" s="676"/>
      <c r="E88" s="676"/>
      <c r="F88" s="676"/>
      <c r="G88" s="676"/>
    </row>
    <row r="89" spans="1:7" s="669" customFormat="1" ht="12.75" customHeight="1" x14ac:dyDescent="0.2">
      <c r="A89" s="670" t="s">
        <v>997</v>
      </c>
      <c r="B89" s="671">
        <v>11.52</v>
      </c>
      <c r="C89" s="671">
        <v>0</v>
      </c>
      <c r="D89" s="671">
        <v>0</v>
      </c>
      <c r="E89" s="671">
        <v>0</v>
      </c>
      <c r="F89" s="671">
        <v>0</v>
      </c>
      <c r="G89" s="671">
        <v>0</v>
      </c>
    </row>
    <row r="90" spans="1:7" s="669" customFormat="1" ht="12.6" customHeight="1" x14ac:dyDescent="0.2">
      <c r="A90" s="670" t="s">
        <v>998</v>
      </c>
      <c r="B90" s="671">
        <v>1.17</v>
      </c>
      <c r="C90" s="671">
        <v>58.58</v>
      </c>
      <c r="D90" s="671">
        <v>0.33</v>
      </c>
      <c r="E90" s="671">
        <v>2.02</v>
      </c>
      <c r="F90" s="671">
        <v>58.58</v>
      </c>
      <c r="G90" s="671">
        <v>2.02</v>
      </c>
    </row>
    <row r="91" spans="1:7" s="669" customFormat="1" ht="12.6" customHeight="1" x14ac:dyDescent="0.2">
      <c r="A91" s="670" t="s">
        <v>1018</v>
      </c>
      <c r="B91" s="671">
        <v>1.82</v>
      </c>
      <c r="C91" s="671">
        <v>7.42</v>
      </c>
      <c r="D91" s="671">
        <v>1.64</v>
      </c>
      <c r="E91" s="671">
        <v>6.45</v>
      </c>
      <c r="F91" s="671">
        <v>65.989999999999995</v>
      </c>
      <c r="G91" s="671">
        <v>8.4700000000000006</v>
      </c>
    </row>
    <row r="92" spans="1:7" s="669" customFormat="1" ht="12.6" customHeight="1" x14ac:dyDescent="0.2">
      <c r="A92" s="670" t="s">
        <v>999</v>
      </c>
      <c r="B92" s="671">
        <v>2.15</v>
      </c>
      <c r="C92" s="671">
        <v>9.85</v>
      </c>
      <c r="D92" s="671">
        <v>0.7</v>
      </c>
      <c r="E92" s="671">
        <v>7.68</v>
      </c>
      <c r="F92" s="671">
        <v>75.84</v>
      </c>
      <c r="G92" s="671">
        <v>16.149999999999999</v>
      </c>
    </row>
    <row r="93" spans="1:7" s="669" customFormat="1" ht="12.6" customHeight="1" x14ac:dyDescent="0.2">
      <c r="A93" s="670" t="s">
        <v>1007</v>
      </c>
      <c r="B93" s="671">
        <v>2.54</v>
      </c>
      <c r="C93" s="671">
        <v>23.46</v>
      </c>
      <c r="D93" s="671">
        <v>0</v>
      </c>
      <c r="E93" s="671">
        <v>4.51</v>
      </c>
      <c r="F93" s="671">
        <v>99.31</v>
      </c>
      <c r="G93" s="671">
        <v>20.66</v>
      </c>
    </row>
    <row r="94" spans="1:7" s="669" customFormat="1" ht="12.6" customHeight="1" x14ac:dyDescent="0.2">
      <c r="A94" s="670" t="s">
        <v>1001</v>
      </c>
      <c r="B94" s="671">
        <v>1.7</v>
      </c>
      <c r="C94" s="671">
        <v>21.14</v>
      </c>
      <c r="D94" s="671">
        <v>0</v>
      </c>
      <c r="E94" s="671">
        <v>0</v>
      </c>
      <c r="F94" s="671">
        <v>120.45</v>
      </c>
      <c r="G94" s="671">
        <v>20.66</v>
      </c>
    </row>
    <row r="95" spans="1:7" s="669" customFormat="1" ht="13.5" customHeight="1" x14ac:dyDescent="0.2">
      <c r="A95" s="670" t="s">
        <v>1021</v>
      </c>
      <c r="B95" s="671">
        <v>1.33</v>
      </c>
      <c r="C95" s="671">
        <v>7.79</v>
      </c>
      <c r="D95" s="671">
        <v>0</v>
      </c>
      <c r="E95" s="671">
        <v>0</v>
      </c>
      <c r="F95" s="674">
        <v>128.22999999999999</v>
      </c>
      <c r="G95" s="674">
        <v>20.66</v>
      </c>
    </row>
    <row r="98" spans="1:4" s="669" customFormat="1" ht="17.25" customHeight="1" x14ac:dyDescent="0.2">
      <c r="A98" s="677" t="s">
        <v>1022</v>
      </c>
      <c r="B98" s="678"/>
      <c r="C98" s="678"/>
      <c r="D98" s="679"/>
    </row>
    <row r="99" spans="1:4" s="669" customFormat="1" ht="27" customHeight="1" x14ac:dyDescent="0.2">
      <c r="A99" s="680" t="s">
        <v>1023</v>
      </c>
      <c r="B99" s="681" t="s">
        <v>1024</v>
      </c>
      <c r="C99" s="682" t="s">
        <v>1025</v>
      </c>
      <c r="D99" s="682"/>
    </row>
    <row r="100" spans="1:4" s="669" customFormat="1" ht="13.5" customHeight="1" x14ac:dyDescent="0.2">
      <c r="A100" s="683" t="s">
        <v>1026</v>
      </c>
      <c r="B100" s="684">
        <f>F26-F4</f>
        <v>796.81999999999971</v>
      </c>
      <c r="C100" s="684">
        <f>G26-G4</f>
        <v>2593.2100000000028</v>
      </c>
      <c r="D100" s="684"/>
    </row>
    <row r="101" spans="1:4" s="669" customFormat="1" ht="13.5" customHeight="1" x14ac:dyDescent="0.2">
      <c r="A101" s="683" t="s">
        <v>1027</v>
      </c>
      <c r="B101" s="684">
        <f>F40</f>
        <v>668.98</v>
      </c>
      <c r="C101" s="685">
        <f>G40</f>
        <v>7.83</v>
      </c>
      <c r="D101" s="685"/>
    </row>
    <row r="102" spans="1:4" s="669" customFormat="1" ht="13.5" customHeight="1" x14ac:dyDescent="0.2">
      <c r="A102" s="683" t="s">
        <v>1028</v>
      </c>
      <c r="B102" s="685">
        <f>F50</f>
        <v>114.19</v>
      </c>
      <c r="C102" s="685">
        <f>G50</f>
        <v>33.97</v>
      </c>
      <c r="D102" s="685"/>
    </row>
    <row r="103" spans="1:4" s="669" customFormat="1" ht="13.5" customHeight="1" x14ac:dyDescent="0.2">
      <c r="A103" s="683" t="s">
        <v>1029</v>
      </c>
      <c r="B103" s="685">
        <f>F60</f>
        <v>108.09</v>
      </c>
      <c r="C103" s="685">
        <f>G60*1.15</f>
        <v>59.12149999999999</v>
      </c>
      <c r="D103" s="685"/>
    </row>
    <row r="104" spans="1:4" s="669" customFormat="1" ht="13.5" customHeight="1" x14ac:dyDescent="0.2">
      <c r="A104" s="683" t="s">
        <v>1030</v>
      </c>
      <c r="B104" s="685">
        <f>F70</f>
        <v>130.19999999999999</v>
      </c>
      <c r="C104" s="685">
        <f>G70</f>
        <v>34.229999999999997</v>
      </c>
      <c r="D104" s="685"/>
    </row>
    <row r="105" spans="1:4" s="669" customFormat="1" ht="13.5" customHeight="1" x14ac:dyDescent="0.2">
      <c r="A105" s="683" t="s">
        <v>1031</v>
      </c>
      <c r="B105" s="685">
        <f>F81</f>
        <v>69.06</v>
      </c>
      <c r="C105" s="685">
        <f>G81</f>
        <v>253.98</v>
      </c>
      <c r="D105" s="685"/>
    </row>
    <row r="106" spans="1:4" s="669" customFormat="1" ht="13.5" customHeight="1" x14ac:dyDescent="0.2">
      <c r="A106" s="683" t="s">
        <v>1032</v>
      </c>
      <c r="B106" s="685">
        <f>F87</f>
        <v>27.45</v>
      </c>
      <c r="C106" s="685">
        <f>G87</f>
        <v>14.08</v>
      </c>
      <c r="D106" s="685"/>
    </row>
    <row r="107" spans="1:4" s="669" customFormat="1" ht="13.5" customHeight="1" x14ac:dyDescent="0.2">
      <c r="A107" s="683" t="s">
        <v>1033</v>
      </c>
      <c r="B107" s="685">
        <f>F95</f>
        <v>128.22999999999999</v>
      </c>
      <c r="C107" s="685">
        <f>G95</f>
        <v>20.66</v>
      </c>
      <c r="D107" s="685"/>
    </row>
    <row r="108" spans="1:4" s="669" customFormat="1" ht="13.5" customHeight="1" x14ac:dyDescent="0.2">
      <c r="A108" s="683" t="s">
        <v>1034</v>
      </c>
      <c r="B108" s="684"/>
      <c r="C108" s="684"/>
      <c r="D108" s="685"/>
    </row>
    <row r="109" spans="1:4" s="669" customFormat="1" ht="15.75" customHeight="1" x14ac:dyDescent="0.2">
      <c r="A109" s="686" t="s">
        <v>1035</v>
      </c>
      <c r="B109" s="687">
        <f>SUM(B100:B108)</f>
        <v>2043.0199999999998</v>
      </c>
      <c r="C109" s="687">
        <f>SUM(C100:C108)</f>
        <v>3017.0815000000025</v>
      </c>
      <c r="D109" s="688"/>
    </row>
  </sheetData>
  <mergeCells count="10">
    <mergeCell ref="A71:G71"/>
    <mergeCell ref="A82:G82"/>
    <mergeCell ref="A88:G88"/>
    <mergeCell ref="A98:D98"/>
    <mergeCell ref="A1:G1"/>
    <mergeCell ref="A3:G3"/>
    <mergeCell ref="A27:G27"/>
    <mergeCell ref="A41:G41"/>
    <mergeCell ref="A51:G51"/>
    <mergeCell ref="A61:G61"/>
  </mergeCells>
  <pageMargins left="0.7" right="0.7" top="0.75" bottom="0.75" header="0.3" footer="0.3"/>
  <pageSetup paperSize="9" scale="8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677A-4A85-4561-A27F-DE13E463684D}">
  <dimension ref="A1:J26"/>
  <sheetViews>
    <sheetView view="pageBreakPreview" zoomScale="70" zoomScaleNormal="70" zoomScaleSheetLayoutView="70" workbookViewId="0">
      <selection activeCell="M15" sqref="M15"/>
    </sheetView>
  </sheetViews>
  <sheetFormatPr defaultRowHeight="12.75" x14ac:dyDescent="0.2"/>
  <cols>
    <col min="1" max="1" width="18.5" style="691" customWidth="1"/>
    <col min="2" max="2" width="38.83203125" style="691" customWidth="1"/>
    <col min="3" max="3" width="20" style="691" customWidth="1"/>
    <col min="4" max="4" width="27.6640625" style="691" customWidth="1"/>
    <col min="5" max="6" width="14.5" style="691" customWidth="1"/>
    <col min="7" max="8" width="15.33203125" style="691" customWidth="1"/>
    <col min="9" max="9" width="17.6640625" style="691" customWidth="1"/>
    <col min="10" max="10" width="20.83203125" style="691" customWidth="1"/>
    <col min="11" max="16384" width="9.33203125" style="691"/>
  </cols>
  <sheetData>
    <row r="1" spans="1:10" ht="20.45" customHeight="1" x14ac:dyDescent="0.2">
      <c r="A1" s="689" t="s">
        <v>1107</v>
      </c>
      <c r="B1" s="690"/>
      <c r="C1" s="690"/>
      <c r="D1" s="690"/>
      <c r="E1" s="690"/>
      <c r="F1" s="690"/>
      <c r="G1" s="690"/>
      <c r="H1" s="690"/>
      <c r="I1" s="690"/>
      <c r="J1" s="690"/>
    </row>
    <row r="2" spans="1:10" ht="59.25" customHeight="1" x14ac:dyDescent="0.2">
      <c r="A2" s="692" t="s">
        <v>13</v>
      </c>
      <c r="B2" s="693"/>
      <c r="C2" s="694" t="s">
        <v>1108</v>
      </c>
      <c r="D2" s="694" t="s">
        <v>1109</v>
      </c>
      <c r="E2" s="694" t="s">
        <v>1110</v>
      </c>
      <c r="F2" s="694" t="s">
        <v>1111</v>
      </c>
      <c r="G2" s="694" t="s">
        <v>1112</v>
      </c>
      <c r="H2" s="694" t="s">
        <v>1113</v>
      </c>
      <c r="I2" s="694" t="s">
        <v>1114</v>
      </c>
      <c r="J2" s="694" t="s">
        <v>32</v>
      </c>
    </row>
    <row r="3" spans="1:10" s="703" customFormat="1" ht="40.5" customHeight="1" x14ac:dyDescent="0.2">
      <c r="A3" s="695" t="s">
        <v>1071</v>
      </c>
      <c r="B3" s="696"/>
      <c r="C3" s="697" t="s">
        <v>1115</v>
      </c>
      <c r="D3" s="698" t="s">
        <v>1116</v>
      </c>
      <c r="E3" s="699">
        <v>16</v>
      </c>
      <c r="F3" s="699">
        <v>10</v>
      </c>
      <c r="G3" s="700">
        <v>4.2</v>
      </c>
      <c r="H3" s="701">
        <v>0</v>
      </c>
      <c r="I3" s="700"/>
      <c r="J3" s="702">
        <f>E3*F3*G3</f>
        <v>672</v>
      </c>
    </row>
    <row r="4" spans="1:10" s="703" customFormat="1" ht="30" customHeight="1" x14ac:dyDescent="0.2">
      <c r="A4" s="695" t="s">
        <v>1080</v>
      </c>
      <c r="B4" s="696"/>
      <c r="C4" s="697" t="s">
        <v>1115</v>
      </c>
      <c r="D4" s="698" t="s">
        <v>1117</v>
      </c>
      <c r="E4" s="699">
        <v>28</v>
      </c>
      <c r="F4" s="699">
        <v>2</v>
      </c>
      <c r="G4" s="700">
        <v>1.5</v>
      </c>
      <c r="H4" s="701"/>
      <c r="I4" s="700">
        <v>1.2</v>
      </c>
      <c r="J4" s="702">
        <f>E4*F4*G4*I4</f>
        <v>100.8</v>
      </c>
    </row>
    <row r="5" spans="1:10" s="703" customFormat="1" ht="27" customHeight="1" x14ac:dyDescent="0.2">
      <c r="A5" s="695" t="s">
        <v>1083</v>
      </c>
      <c r="B5" s="696"/>
      <c r="C5" s="697" t="s">
        <v>1118</v>
      </c>
      <c r="D5" s="698" t="s">
        <v>1119</v>
      </c>
      <c r="E5" s="699">
        <v>16</v>
      </c>
      <c r="F5" s="699">
        <v>10</v>
      </c>
      <c r="G5" s="700">
        <v>2.5</v>
      </c>
      <c r="H5" s="701">
        <v>46.5</v>
      </c>
      <c r="I5" s="700">
        <v>1.5</v>
      </c>
      <c r="J5" s="702">
        <f>J4*H5*I5</f>
        <v>7030.7999999999993</v>
      </c>
    </row>
    <row r="6" spans="1:10" s="703" customFormat="1" ht="25.5" customHeight="1" x14ac:dyDescent="0.2">
      <c r="A6" s="695" t="s">
        <v>1086</v>
      </c>
      <c r="B6" s="696"/>
      <c r="C6" s="697" t="s">
        <v>1118</v>
      </c>
      <c r="D6" s="698" t="s">
        <v>1119</v>
      </c>
      <c r="E6" s="699">
        <v>16</v>
      </c>
      <c r="F6" s="699">
        <v>10</v>
      </c>
      <c r="G6" s="700">
        <v>2.5</v>
      </c>
      <c r="H6" s="701">
        <v>1</v>
      </c>
      <c r="I6" s="700">
        <v>1.5</v>
      </c>
      <c r="J6" s="702">
        <f>J4*H6*I6</f>
        <v>151.19999999999999</v>
      </c>
    </row>
    <row r="7" spans="1:10" s="703" customFormat="1" ht="42" customHeight="1" x14ac:dyDescent="0.2">
      <c r="A7" s="695" t="s">
        <v>1089</v>
      </c>
      <c r="B7" s="696"/>
      <c r="C7" s="697" t="s">
        <v>1115</v>
      </c>
      <c r="D7" s="698" t="s">
        <v>1117</v>
      </c>
      <c r="E7" s="699">
        <v>16</v>
      </c>
      <c r="F7" s="699">
        <v>10</v>
      </c>
      <c r="G7" s="700">
        <v>2.5</v>
      </c>
      <c r="H7" s="701"/>
      <c r="I7" s="700">
        <v>1.2</v>
      </c>
      <c r="J7" s="702">
        <f>J4</f>
        <v>100.8</v>
      </c>
    </row>
    <row r="8" spans="1:10" s="703" customFormat="1" ht="15.6" customHeight="1" x14ac:dyDescent="0.2">
      <c r="A8" s="704"/>
      <c r="B8" s="705"/>
      <c r="C8" s="706"/>
      <c r="D8" s="697"/>
      <c r="E8" s="697"/>
      <c r="F8" s="697"/>
      <c r="G8" s="706"/>
      <c r="H8" s="706"/>
      <c r="I8" s="706"/>
      <c r="J8" s="707"/>
    </row>
    <row r="9" spans="1:10" x14ac:dyDescent="0.2">
      <c r="J9" s="708"/>
    </row>
    <row r="11" spans="1:10" x14ac:dyDescent="0.2">
      <c r="A11" s="709"/>
      <c r="B11" s="709"/>
      <c r="C11" s="709"/>
      <c r="D11" s="709"/>
      <c r="E11" s="710"/>
      <c r="F11" s="710"/>
      <c r="G11" s="711"/>
      <c r="H11" s="711"/>
      <c r="I11" s="711"/>
      <c r="J11" s="711"/>
    </row>
    <row r="12" spans="1:10" x14ac:dyDescent="0.2">
      <c r="A12" s="712"/>
      <c r="B12" s="712"/>
      <c r="C12" s="713"/>
      <c r="D12" s="714"/>
      <c r="E12" s="714"/>
      <c r="F12" s="714"/>
      <c r="G12" s="715"/>
      <c r="H12" s="715"/>
      <c r="I12" s="715"/>
    </row>
    <row r="13" spans="1:10" x14ac:dyDescent="0.2">
      <c r="A13" s="712"/>
      <c r="B13" s="712"/>
      <c r="C13" s="713"/>
      <c r="D13" s="714"/>
      <c r="E13" s="714"/>
      <c r="F13" s="714"/>
      <c r="G13" s="715"/>
      <c r="H13" s="715"/>
      <c r="I13" s="715"/>
    </row>
    <row r="14" spans="1:10" ht="32.25" customHeight="1" x14ac:dyDescent="0.2">
      <c r="A14" s="716"/>
      <c r="B14" s="716"/>
      <c r="C14" s="713"/>
      <c r="D14" s="714"/>
      <c r="E14" s="714"/>
      <c r="F14" s="714"/>
      <c r="G14" s="715"/>
      <c r="H14" s="715"/>
      <c r="I14" s="715"/>
    </row>
    <row r="15" spans="1:10" x14ac:dyDescent="0.2">
      <c r="A15" s="712"/>
      <c r="B15" s="712"/>
      <c r="C15" s="713"/>
      <c r="D15" s="714"/>
      <c r="E15" s="714"/>
      <c r="F15" s="714"/>
      <c r="G15" s="715"/>
      <c r="H15" s="715"/>
      <c r="I15" s="715"/>
    </row>
    <row r="16" spans="1:10" x14ac:dyDescent="0.2">
      <c r="A16" s="712"/>
      <c r="B16" s="712"/>
      <c r="C16" s="713"/>
      <c r="D16" s="714"/>
      <c r="E16" s="714"/>
      <c r="F16" s="714"/>
      <c r="G16" s="715"/>
      <c r="H16" s="715"/>
      <c r="I16" s="715"/>
    </row>
    <row r="17" spans="1:9" x14ac:dyDescent="0.2">
      <c r="A17" s="712"/>
      <c r="B17" s="712"/>
      <c r="C17" s="713"/>
      <c r="D17" s="717"/>
      <c r="E17" s="717"/>
      <c r="F17" s="717"/>
      <c r="G17" s="715"/>
      <c r="H17" s="715"/>
      <c r="I17" s="715"/>
    </row>
    <row r="18" spans="1:9" x14ac:dyDescent="0.2">
      <c r="A18" s="712"/>
      <c r="B18" s="712"/>
      <c r="C18" s="713"/>
      <c r="D18" s="717"/>
      <c r="E18" s="717"/>
      <c r="F18" s="717"/>
      <c r="G18" s="715"/>
      <c r="H18" s="715"/>
      <c r="I18" s="715"/>
    </row>
    <row r="19" spans="1:9" x14ac:dyDescent="0.2">
      <c r="A19" s="715"/>
      <c r="B19" s="715"/>
      <c r="C19" s="713"/>
      <c r="D19" s="717"/>
      <c r="E19" s="717"/>
      <c r="F19" s="717"/>
      <c r="G19" s="715"/>
      <c r="H19" s="715"/>
      <c r="I19" s="715"/>
    </row>
    <row r="20" spans="1:9" x14ac:dyDescent="0.2">
      <c r="A20" s="715"/>
      <c r="B20" s="715"/>
      <c r="C20" s="713"/>
      <c r="D20" s="717"/>
      <c r="E20" s="717"/>
      <c r="F20" s="717"/>
      <c r="G20" s="715"/>
      <c r="H20" s="715"/>
      <c r="I20" s="715"/>
    </row>
    <row r="21" spans="1:9" x14ac:dyDescent="0.2">
      <c r="A21" s="715"/>
      <c r="B21" s="715"/>
      <c r="C21" s="713"/>
      <c r="D21" s="717"/>
      <c r="E21" s="717"/>
      <c r="F21" s="717"/>
      <c r="G21" s="715"/>
      <c r="H21" s="715"/>
      <c r="I21" s="715"/>
    </row>
    <row r="22" spans="1:9" x14ac:dyDescent="0.2">
      <c r="A22" s="715"/>
      <c r="B22" s="715"/>
      <c r="C22" s="715"/>
      <c r="D22" s="717"/>
      <c r="E22" s="717"/>
      <c r="F22" s="717"/>
      <c r="G22" s="715"/>
      <c r="H22" s="715"/>
      <c r="I22" s="715"/>
    </row>
    <row r="23" spans="1:9" x14ac:dyDescent="0.2">
      <c r="A23" s="715"/>
      <c r="B23" s="715"/>
      <c r="C23" s="715"/>
      <c r="D23" s="717"/>
      <c r="E23" s="717"/>
      <c r="F23" s="717"/>
      <c r="G23" s="715"/>
      <c r="H23" s="715"/>
      <c r="I23" s="715"/>
    </row>
    <row r="24" spans="1:9" x14ac:dyDescent="0.2">
      <c r="A24" s="715"/>
      <c r="B24" s="715"/>
      <c r="C24" s="715"/>
      <c r="D24" s="715"/>
      <c r="E24" s="715"/>
      <c r="F24" s="715"/>
      <c r="G24" s="715"/>
      <c r="H24" s="715"/>
      <c r="I24" s="715"/>
    </row>
    <row r="25" spans="1:9" x14ac:dyDescent="0.2">
      <c r="A25" s="715"/>
      <c r="B25" s="715"/>
      <c r="C25" s="715"/>
      <c r="D25" s="715"/>
      <c r="E25" s="715"/>
      <c r="F25" s="715"/>
      <c r="G25" s="715"/>
      <c r="H25" s="715"/>
      <c r="I25" s="715"/>
    </row>
    <row r="26" spans="1:9" x14ac:dyDescent="0.2">
      <c r="A26" s="715"/>
      <c r="B26" s="715"/>
      <c r="C26" s="715"/>
      <c r="D26" s="715"/>
      <c r="E26" s="715"/>
      <c r="F26" s="715"/>
      <c r="G26" s="715"/>
      <c r="H26" s="715"/>
      <c r="I26" s="715"/>
    </row>
  </sheetData>
  <mergeCells count="16">
    <mergeCell ref="A15:B15"/>
    <mergeCell ref="A16:B16"/>
    <mergeCell ref="A17:B17"/>
    <mergeCell ref="A18:B18"/>
    <mergeCell ref="A7:B7"/>
    <mergeCell ref="A8:B8"/>
    <mergeCell ref="A11:D11"/>
    <mergeCell ref="A12:B12"/>
    <mergeCell ref="A13:B13"/>
    <mergeCell ref="A14:B14"/>
    <mergeCell ref="A1:J1"/>
    <mergeCell ref="A2:B2"/>
    <mergeCell ref="A3:B3"/>
    <mergeCell ref="A4:B4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fitToWidth="3" fitToHeight="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E2C28-908F-4F4A-9146-813205ABEE25}">
  <sheetPr>
    <pageSetUpPr fitToPage="1"/>
  </sheetPr>
  <dimension ref="A1:J208"/>
  <sheetViews>
    <sheetView showGridLines="0" view="pageBreakPreview" zoomScale="70" zoomScaleNormal="100" zoomScaleSheetLayoutView="70" workbookViewId="0">
      <selection activeCell="F9" sqref="F9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33203125" style="1" customWidth="1"/>
    <col min="4" max="4" width="6.6640625" style="7" customWidth="1"/>
    <col min="5" max="5" width="16" style="3" customWidth="1"/>
    <col min="6" max="6" width="35.1640625" style="3" customWidth="1"/>
    <col min="7" max="7" width="14.33203125" style="3" customWidth="1"/>
    <col min="8" max="8" width="31.83203125" style="3" customWidth="1"/>
    <col min="9" max="9" width="16.5" style="1" customWidth="1"/>
    <col min="10" max="10" width="13.83203125" style="1" customWidth="1"/>
    <col min="11" max="16384" width="9" style="1"/>
  </cols>
  <sheetData>
    <row r="1" spans="1:10" s="11" customFormat="1" ht="12.75" x14ac:dyDescent="0.2">
      <c r="A1" s="16"/>
      <c r="B1" s="17"/>
      <c r="C1" s="17"/>
      <c r="D1" s="17"/>
      <c r="E1" s="17"/>
      <c r="F1" s="17"/>
      <c r="G1" s="17"/>
      <c r="H1" s="17"/>
    </row>
    <row r="2" spans="1:10" s="11" customFormat="1" ht="12.75" x14ac:dyDescent="0.2">
      <c r="A2" s="376" t="s">
        <v>0</v>
      </c>
      <c r="B2" s="377"/>
      <c r="C2" s="377"/>
      <c r="D2" s="19"/>
      <c r="E2" s="20"/>
      <c r="F2" s="20"/>
      <c r="G2" s="20"/>
      <c r="H2" s="20"/>
    </row>
    <row r="3" spans="1:10" s="11" customFormat="1" ht="12.75" x14ac:dyDescent="0.2">
      <c r="A3" s="376"/>
      <c r="B3" s="377"/>
      <c r="C3" s="377"/>
      <c r="D3" s="19"/>
      <c r="E3" s="20"/>
      <c r="F3" s="20"/>
      <c r="G3" s="20"/>
      <c r="H3" s="20"/>
    </row>
    <row r="4" spans="1:10" s="11" customFormat="1" ht="12.75" x14ac:dyDescent="0.2">
      <c r="A4" s="22"/>
      <c r="B4" s="343"/>
      <c r="C4" s="23"/>
      <c r="D4" s="343"/>
      <c r="E4" s="24"/>
      <c r="F4" s="24"/>
      <c r="G4" s="24"/>
      <c r="H4" s="24"/>
    </row>
    <row r="5" spans="1:10" s="11" customFormat="1" ht="27.95" customHeight="1" x14ac:dyDescent="0.2">
      <c r="A5" s="376" t="s">
        <v>1</v>
      </c>
      <c r="B5" s="377"/>
      <c r="C5" s="377"/>
      <c r="D5" s="377"/>
      <c r="E5" s="377"/>
      <c r="F5" s="377"/>
      <c r="G5" s="377"/>
      <c r="H5" s="377"/>
    </row>
    <row r="6" spans="1:10" s="11" customFormat="1" ht="12.75" x14ac:dyDescent="0.2">
      <c r="A6" s="25"/>
      <c r="D6" s="343"/>
      <c r="E6" s="24"/>
      <c r="F6" s="24"/>
      <c r="G6" s="24"/>
      <c r="H6" s="24"/>
    </row>
    <row r="7" spans="1:10" s="11" customFormat="1" ht="15.75" x14ac:dyDescent="0.2">
      <c r="A7" s="388" t="s">
        <v>23</v>
      </c>
      <c r="B7" s="389"/>
      <c r="C7" s="389"/>
      <c r="D7" s="389"/>
      <c r="E7" s="389"/>
      <c r="F7" s="389"/>
      <c r="G7" s="389"/>
      <c r="H7" s="389"/>
    </row>
    <row r="8" spans="1:10" s="11" customFormat="1" ht="12.75" x14ac:dyDescent="0.2">
      <c r="A8" s="26" t="s">
        <v>8</v>
      </c>
      <c r="B8" s="15" t="s">
        <v>9</v>
      </c>
      <c r="C8" s="12"/>
      <c r="D8" s="12"/>
      <c r="E8" s="361" t="s">
        <v>24</v>
      </c>
      <c r="F8" s="362">
        <f>'PLANILHA - BM 15 CT'!F8</f>
        <v>15</v>
      </c>
      <c r="G8" s="13"/>
      <c r="H8" s="13"/>
    </row>
    <row r="9" spans="1:10" s="11" customFormat="1" ht="12.75" x14ac:dyDescent="0.2">
      <c r="A9" s="28" t="s">
        <v>5</v>
      </c>
      <c r="B9" s="29" t="s">
        <v>25</v>
      </c>
      <c r="C9" s="29"/>
      <c r="D9" s="29"/>
      <c r="E9" s="76" t="s">
        <v>26</v>
      </c>
      <c r="F9" s="77" t="str">
        <f>'PLANILHA - BM 15 CT'!F9</f>
        <v>08/05/25 à 31/05/25</v>
      </c>
      <c r="G9" s="29"/>
      <c r="H9" s="29"/>
    </row>
    <row r="10" spans="1:10" s="11" customFormat="1" ht="12.75" x14ac:dyDescent="0.2">
      <c r="A10" s="390" t="s">
        <v>12</v>
      </c>
      <c r="B10" s="390" t="s">
        <v>27</v>
      </c>
      <c r="C10" s="390" t="s">
        <v>13</v>
      </c>
      <c r="D10" s="390" t="s">
        <v>28</v>
      </c>
      <c r="E10" s="391" t="s">
        <v>29</v>
      </c>
      <c r="F10" s="391"/>
      <c r="G10" s="391"/>
      <c r="H10" s="391"/>
      <c r="I10" s="381" t="s">
        <v>30</v>
      </c>
      <c r="J10" s="382"/>
    </row>
    <row r="11" spans="1:10" ht="42" customHeight="1" x14ac:dyDescent="0.2">
      <c r="A11" s="390"/>
      <c r="B11" s="390"/>
      <c r="C11" s="390"/>
      <c r="D11" s="390"/>
      <c r="E11" s="344" t="s">
        <v>14</v>
      </c>
      <c r="F11" s="344" t="s">
        <v>31</v>
      </c>
      <c r="G11" s="344" t="s">
        <v>32</v>
      </c>
      <c r="H11" s="344" t="s">
        <v>33</v>
      </c>
      <c r="I11" s="1" t="s">
        <v>34</v>
      </c>
      <c r="J11" s="1" t="s">
        <v>35</v>
      </c>
    </row>
    <row r="12" spans="1:10" ht="19.5" customHeight="1" x14ac:dyDescent="0.2">
      <c r="A12" s="344"/>
      <c r="B12" s="344"/>
      <c r="C12" s="344"/>
      <c r="D12" s="344"/>
      <c r="E12" s="344"/>
      <c r="F12" s="344"/>
      <c r="G12" s="344"/>
      <c r="H12" s="344"/>
    </row>
    <row r="13" spans="1:10" customFormat="1" ht="12.75" x14ac:dyDescent="0.2">
      <c r="A13" s="54" t="s">
        <v>36</v>
      </c>
      <c r="B13" s="55"/>
      <c r="C13" s="54" t="s">
        <v>37</v>
      </c>
      <c r="D13" s="56"/>
      <c r="E13" s="56"/>
      <c r="F13" s="56"/>
      <c r="G13" s="56"/>
      <c r="H13" s="56"/>
    </row>
    <row r="14" spans="1:10" customFormat="1" ht="12.75" x14ac:dyDescent="0.2">
      <c r="A14" s="47" t="s">
        <v>38</v>
      </c>
      <c r="B14" s="48"/>
      <c r="C14" s="47" t="s">
        <v>39</v>
      </c>
      <c r="D14" s="49"/>
      <c r="E14" s="49"/>
      <c r="F14" s="49"/>
      <c r="G14" s="49"/>
      <c r="H14" s="49"/>
    </row>
    <row r="15" spans="1:10" customFormat="1" ht="12.75" x14ac:dyDescent="0.2">
      <c r="A15" s="345" t="s">
        <v>40</v>
      </c>
      <c r="B15" s="348" t="s">
        <v>41</v>
      </c>
      <c r="C15" s="345" t="s">
        <v>42</v>
      </c>
      <c r="D15" s="40" t="s">
        <v>43</v>
      </c>
      <c r="E15" s="363">
        <v>40</v>
      </c>
      <c r="F15" s="102"/>
      <c r="G15" s="103"/>
      <c r="H15" s="103"/>
    </row>
    <row r="16" spans="1:10" customFormat="1" ht="12.75" x14ac:dyDescent="0.2">
      <c r="A16" s="47" t="s">
        <v>44</v>
      </c>
      <c r="B16" s="48"/>
      <c r="C16" s="47" t="s">
        <v>45</v>
      </c>
      <c r="D16" s="49"/>
      <c r="E16" s="364" t="s">
        <v>46</v>
      </c>
      <c r="F16" s="365"/>
      <c r="G16" s="365"/>
      <c r="H16" s="365"/>
    </row>
    <row r="17" spans="1:10" customFormat="1" ht="25.5" x14ac:dyDescent="0.2">
      <c r="A17" s="345" t="s">
        <v>47</v>
      </c>
      <c r="B17" s="348" t="s">
        <v>48</v>
      </c>
      <c r="C17" s="345" t="s">
        <v>49</v>
      </c>
      <c r="D17" s="40" t="s">
        <v>43</v>
      </c>
      <c r="E17" s="363">
        <v>30</v>
      </c>
      <c r="F17" s="102"/>
      <c r="G17" s="103"/>
      <c r="H17" s="103"/>
    </row>
    <row r="18" spans="1:10" s="35" customFormat="1" ht="25.5" x14ac:dyDescent="0.2">
      <c r="A18" s="345" t="s">
        <v>50</v>
      </c>
      <c r="B18" s="348" t="s">
        <v>51</v>
      </c>
      <c r="C18" s="345" t="s">
        <v>52</v>
      </c>
      <c r="D18" s="40" t="s">
        <v>53</v>
      </c>
      <c r="E18" s="363">
        <v>45</v>
      </c>
      <c r="F18" s="102"/>
      <c r="G18" s="103"/>
      <c r="H18" s="103"/>
    </row>
    <row r="19" spans="1:10" customFormat="1" ht="12.75" x14ac:dyDescent="0.2">
      <c r="A19" s="345" t="s">
        <v>54</v>
      </c>
      <c r="B19" s="348" t="s">
        <v>55</v>
      </c>
      <c r="C19" s="345" t="s">
        <v>56</v>
      </c>
      <c r="D19" s="40" t="s">
        <v>57</v>
      </c>
      <c r="E19" s="363">
        <v>500</v>
      </c>
      <c r="F19" s="103"/>
      <c r="G19" s="103">
        <v>50</v>
      </c>
      <c r="H19" s="103" t="s">
        <v>58</v>
      </c>
    </row>
    <row r="20" spans="1:10" customFormat="1" ht="25.5" x14ac:dyDescent="0.2">
      <c r="A20" s="345" t="s">
        <v>59</v>
      </c>
      <c r="B20" s="348" t="s">
        <v>60</v>
      </c>
      <c r="C20" s="345" t="s">
        <v>61</v>
      </c>
      <c r="D20" s="40" t="s">
        <v>57</v>
      </c>
      <c r="E20" s="363">
        <v>500</v>
      </c>
      <c r="F20" s="103"/>
      <c r="G20" s="103"/>
      <c r="H20" s="103"/>
    </row>
    <row r="21" spans="1:10" customFormat="1" ht="12.75" x14ac:dyDescent="0.2">
      <c r="A21" s="47" t="s">
        <v>62</v>
      </c>
      <c r="B21" s="48"/>
      <c r="C21" s="47" t="s">
        <v>63</v>
      </c>
      <c r="D21" s="49"/>
      <c r="E21" s="364" t="s">
        <v>46</v>
      </c>
      <c r="F21" s="365"/>
      <c r="G21" s="365"/>
      <c r="H21" s="365"/>
    </row>
    <row r="22" spans="1:10" customFormat="1" ht="12.75" x14ac:dyDescent="0.2">
      <c r="A22" s="345" t="s">
        <v>64</v>
      </c>
      <c r="B22" s="348" t="s">
        <v>65</v>
      </c>
      <c r="C22" s="345" t="s">
        <v>66</v>
      </c>
      <c r="D22" s="40" t="s">
        <v>53</v>
      </c>
      <c r="E22" s="363">
        <v>13</v>
      </c>
      <c r="F22" s="103"/>
      <c r="G22" s="103"/>
      <c r="H22" s="103"/>
    </row>
    <row r="23" spans="1:10" customFormat="1" ht="12.75" x14ac:dyDescent="0.2">
      <c r="A23" s="54" t="s">
        <v>67</v>
      </c>
      <c r="B23" s="55"/>
      <c r="C23" s="54" t="s">
        <v>68</v>
      </c>
      <c r="D23" s="56"/>
      <c r="E23" s="366" t="s">
        <v>46</v>
      </c>
      <c r="F23" s="367"/>
      <c r="G23" s="367"/>
      <c r="H23" s="367"/>
    </row>
    <row r="24" spans="1:10" customFormat="1" ht="12.75" x14ac:dyDescent="0.2">
      <c r="A24" s="47" t="s">
        <v>69</v>
      </c>
      <c r="B24" s="48"/>
      <c r="C24" s="47" t="s">
        <v>70</v>
      </c>
      <c r="D24" s="49"/>
      <c r="E24" s="364" t="s">
        <v>46</v>
      </c>
      <c r="F24" s="365"/>
      <c r="G24" s="365"/>
      <c r="H24" s="365"/>
    </row>
    <row r="25" spans="1:10" customFormat="1" ht="25.5" x14ac:dyDescent="0.2">
      <c r="A25" s="345" t="s">
        <v>71</v>
      </c>
      <c r="B25" s="348" t="s">
        <v>72</v>
      </c>
      <c r="C25" s="345" t="s">
        <v>73</v>
      </c>
      <c r="D25" s="40" t="s">
        <v>43</v>
      </c>
      <c r="E25" s="363">
        <v>5000</v>
      </c>
      <c r="F25" s="103"/>
      <c r="G25" s="368">
        <f>(J25)</f>
        <v>833.33333333333337</v>
      </c>
      <c r="H25" s="103"/>
      <c r="J25">
        <f t="shared" ref="J25:J48" si="0">(E25/180)*30</f>
        <v>833.33333333333337</v>
      </c>
    </row>
    <row r="26" spans="1:10" customFormat="1" ht="25.5" x14ac:dyDescent="0.2">
      <c r="A26" s="345" t="s">
        <v>74</v>
      </c>
      <c r="B26" s="348" t="s">
        <v>75</v>
      </c>
      <c r="C26" s="345" t="s">
        <v>76</v>
      </c>
      <c r="D26" s="40" t="s">
        <v>77</v>
      </c>
      <c r="E26" s="363">
        <v>500</v>
      </c>
      <c r="F26" s="103"/>
      <c r="G26" s="368">
        <f>(J26)</f>
        <v>83.333333333333329</v>
      </c>
      <c r="H26" s="103"/>
      <c r="J26">
        <f t="shared" si="0"/>
        <v>83.333333333333329</v>
      </c>
    </row>
    <row r="27" spans="1:10" customFormat="1" ht="12.75" x14ac:dyDescent="0.2">
      <c r="A27" s="47" t="s">
        <v>78</v>
      </c>
      <c r="B27" s="48"/>
      <c r="C27" s="47" t="s">
        <v>79</v>
      </c>
      <c r="D27" s="49"/>
      <c r="E27" s="364" t="s">
        <v>46</v>
      </c>
      <c r="F27" s="365"/>
      <c r="G27" s="365"/>
      <c r="H27" s="365"/>
      <c r="J27" t="e">
        <f t="shared" si="0"/>
        <v>#VALUE!</v>
      </c>
    </row>
    <row r="28" spans="1:10" customFormat="1" ht="25.5" x14ac:dyDescent="0.2">
      <c r="A28" s="345" t="s">
        <v>80</v>
      </c>
      <c r="B28" s="348" t="s">
        <v>81</v>
      </c>
      <c r="C28" s="345" t="s">
        <v>82</v>
      </c>
      <c r="D28" s="40" t="s">
        <v>77</v>
      </c>
      <c r="E28" s="363">
        <v>90</v>
      </c>
      <c r="F28" s="103"/>
      <c r="G28" s="368">
        <f>(J28)</f>
        <v>15</v>
      </c>
      <c r="H28" s="103"/>
      <c r="J28">
        <f t="shared" si="0"/>
        <v>15</v>
      </c>
    </row>
    <row r="29" spans="1:10" customFormat="1" ht="25.5" x14ac:dyDescent="0.2">
      <c r="A29" s="345" t="s">
        <v>83</v>
      </c>
      <c r="B29" s="38">
        <v>5914359</v>
      </c>
      <c r="C29" s="345" t="s">
        <v>84</v>
      </c>
      <c r="D29" s="40" t="s">
        <v>85</v>
      </c>
      <c r="E29" s="363">
        <v>608</v>
      </c>
      <c r="F29" s="103"/>
      <c r="G29" s="368">
        <f t="shared" ref="G29:G48" si="1">(J29)</f>
        <v>101.33333333333333</v>
      </c>
      <c r="H29" s="103"/>
      <c r="J29">
        <f t="shared" si="0"/>
        <v>101.33333333333333</v>
      </c>
    </row>
    <row r="30" spans="1:10" customFormat="1" ht="25.5" x14ac:dyDescent="0.2">
      <c r="A30" s="345" t="s">
        <v>86</v>
      </c>
      <c r="B30" s="38"/>
      <c r="C30" s="345" t="s">
        <v>87</v>
      </c>
      <c r="D30" s="40" t="s">
        <v>85</v>
      </c>
      <c r="E30" s="363">
        <v>426</v>
      </c>
      <c r="F30" s="103"/>
      <c r="G30" s="368">
        <f t="shared" si="1"/>
        <v>71</v>
      </c>
      <c r="H30" s="103"/>
      <c r="J30">
        <f t="shared" si="0"/>
        <v>71</v>
      </c>
    </row>
    <row r="31" spans="1:10" customFormat="1" ht="12.75" x14ac:dyDescent="0.2">
      <c r="A31" s="345" t="s">
        <v>88</v>
      </c>
      <c r="B31" s="348" t="s">
        <v>89</v>
      </c>
      <c r="C31" s="345" t="s">
        <v>90</v>
      </c>
      <c r="D31" s="40" t="s">
        <v>77</v>
      </c>
      <c r="E31" s="363">
        <v>72</v>
      </c>
      <c r="F31" s="103"/>
      <c r="G31" s="368">
        <f t="shared" si="1"/>
        <v>12</v>
      </c>
      <c r="H31" s="103"/>
      <c r="J31">
        <f t="shared" si="0"/>
        <v>12</v>
      </c>
    </row>
    <row r="32" spans="1:10" customFormat="1" ht="12.75" x14ac:dyDescent="0.2">
      <c r="A32" s="47" t="s">
        <v>91</v>
      </c>
      <c r="B32" s="48"/>
      <c r="C32" s="47" t="s">
        <v>92</v>
      </c>
      <c r="D32" s="49"/>
      <c r="E32" s="364" t="s">
        <v>46</v>
      </c>
      <c r="F32" s="365"/>
      <c r="G32" s="365"/>
      <c r="H32" s="365"/>
      <c r="J32" t="e">
        <f t="shared" si="0"/>
        <v>#VALUE!</v>
      </c>
    </row>
    <row r="33" spans="1:10" customFormat="1" ht="12.75" x14ac:dyDescent="0.2">
      <c r="A33" s="345" t="s">
        <v>93</v>
      </c>
      <c r="B33" s="348" t="s">
        <v>94</v>
      </c>
      <c r="C33" s="345" t="s">
        <v>95</v>
      </c>
      <c r="D33" s="40" t="s">
        <v>43</v>
      </c>
      <c r="E33" s="363">
        <v>600</v>
      </c>
      <c r="F33" s="103"/>
      <c r="G33" s="368">
        <f t="shared" si="1"/>
        <v>100</v>
      </c>
      <c r="H33" s="103"/>
      <c r="J33">
        <f t="shared" si="0"/>
        <v>100</v>
      </c>
    </row>
    <row r="34" spans="1:10" customFormat="1" ht="12.75" x14ac:dyDescent="0.2">
      <c r="A34" s="47" t="s">
        <v>96</v>
      </c>
      <c r="B34" s="48"/>
      <c r="C34" s="47" t="s">
        <v>97</v>
      </c>
      <c r="D34" s="49"/>
      <c r="E34" s="364" t="s">
        <v>46</v>
      </c>
      <c r="F34" s="365"/>
      <c r="G34" s="365"/>
      <c r="H34" s="365"/>
      <c r="J34" t="e">
        <f t="shared" si="0"/>
        <v>#VALUE!</v>
      </c>
    </row>
    <row r="35" spans="1:10" customFormat="1" ht="12.75" x14ac:dyDescent="0.2">
      <c r="A35" s="345" t="s">
        <v>98</v>
      </c>
      <c r="B35" s="348" t="s">
        <v>99</v>
      </c>
      <c r="C35" s="345" t="s">
        <v>100</v>
      </c>
      <c r="D35" s="40" t="s">
        <v>53</v>
      </c>
      <c r="E35" s="363">
        <v>1</v>
      </c>
      <c r="F35" s="103"/>
      <c r="G35" s="368">
        <f t="shared" si="1"/>
        <v>0.16666666666666669</v>
      </c>
      <c r="H35" s="103"/>
      <c r="J35">
        <f t="shared" si="0"/>
        <v>0.16666666666666669</v>
      </c>
    </row>
    <row r="36" spans="1:10" customFormat="1" ht="25.5" x14ac:dyDescent="0.2">
      <c r="A36" s="345" t="s">
        <v>101</v>
      </c>
      <c r="B36" s="348" t="s">
        <v>102</v>
      </c>
      <c r="C36" s="345" t="s">
        <v>103</v>
      </c>
      <c r="D36" s="40" t="s">
        <v>53</v>
      </c>
      <c r="E36" s="363">
        <v>1</v>
      </c>
      <c r="F36" s="103"/>
      <c r="G36" s="368">
        <f t="shared" si="1"/>
        <v>0.16666666666666669</v>
      </c>
      <c r="H36" s="103"/>
      <c r="J36">
        <f t="shared" si="0"/>
        <v>0.16666666666666669</v>
      </c>
    </row>
    <row r="37" spans="1:10" customFormat="1" ht="25.5" x14ac:dyDescent="0.2">
      <c r="A37" s="345" t="s">
        <v>104</v>
      </c>
      <c r="B37" s="348" t="s">
        <v>105</v>
      </c>
      <c r="C37" s="345" t="s">
        <v>106</v>
      </c>
      <c r="D37" s="40" t="s">
        <v>43</v>
      </c>
      <c r="E37" s="363">
        <v>85</v>
      </c>
      <c r="F37" s="103"/>
      <c r="G37" s="368">
        <f t="shared" si="1"/>
        <v>14.166666666666666</v>
      </c>
      <c r="H37" s="103"/>
      <c r="J37">
        <f t="shared" si="0"/>
        <v>14.166666666666666</v>
      </c>
    </row>
    <row r="38" spans="1:10" customFormat="1" ht="25.5" x14ac:dyDescent="0.2">
      <c r="A38" s="345" t="s">
        <v>107</v>
      </c>
      <c r="B38" s="348" t="s">
        <v>108</v>
      </c>
      <c r="C38" s="345" t="s">
        <v>109</v>
      </c>
      <c r="D38" s="40" t="s">
        <v>53</v>
      </c>
      <c r="E38" s="363">
        <v>1</v>
      </c>
      <c r="F38" s="103"/>
      <c r="G38" s="368">
        <f t="shared" si="1"/>
        <v>0.16666666666666669</v>
      </c>
      <c r="H38" s="103"/>
      <c r="J38">
        <f t="shared" si="0"/>
        <v>0.16666666666666669</v>
      </c>
    </row>
    <row r="39" spans="1:10" customFormat="1" ht="25.5" x14ac:dyDescent="0.2">
      <c r="A39" s="345" t="s">
        <v>110</v>
      </c>
      <c r="B39" s="348" t="s">
        <v>111</v>
      </c>
      <c r="C39" s="345" t="s">
        <v>112</v>
      </c>
      <c r="D39" s="40" t="s">
        <v>53</v>
      </c>
      <c r="E39" s="363">
        <v>1</v>
      </c>
      <c r="F39" s="103"/>
      <c r="G39" s="368">
        <f t="shared" si="1"/>
        <v>0.16666666666666669</v>
      </c>
      <c r="H39" s="103"/>
      <c r="J39">
        <f t="shared" si="0"/>
        <v>0.16666666666666669</v>
      </c>
    </row>
    <row r="40" spans="1:10" customFormat="1" ht="12.75" x14ac:dyDescent="0.2">
      <c r="A40" s="47" t="s">
        <v>113</v>
      </c>
      <c r="B40" s="48"/>
      <c r="C40" s="47" t="s">
        <v>114</v>
      </c>
      <c r="D40" s="49"/>
      <c r="E40" s="364" t="s">
        <v>46</v>
      </c>
      <c r="F40" s="365"/>
      <c r="G40" s="365"/>
      <c r="H40" s="365"/>
      <c r="J40" t="e">
        <f t="shared" si="0"/>
        <v>#VALUE!</v>
      </c>
    </row>
    <row r="41" spans="1:10" customFormat="1" ht="25.5" x14ac:dyDescent="0.2">
      <c r="A41" s="348" t="s">
        <v>115</v>
      </c>
      <c r="B41" s="348" t="s">
        <v>116</v>
      </c>
      <c r="C41" s="42" t="s">
        <v>117</v>
      </c>
      <c r="D41" s="40" t="s">
        <v>118</v>
      </c>
      <c r="E41" s="363">
        <v>1</v>
      </c>
      <c r="F41" s="103"/>
      <c r="G41" s="368">
        <f t="shared" si="1"/>
        <v>0.16666666666666669</v>
      </c>
      <c r="H41" s="103"/>
      <c r="J41">
        <f t="shared" si="0"/>
        <v>0.16666666666666669</v>
      </c>
    </row>
    <row r="42" spans="1:10" customFormat="1" ht="12.75" x14ac:dyDescent="0.2">
      <c r="A42" s="348" t="s">
        <v>119</v>
      </c>
      <c r="B42" s="348">
        <v>41598</v>
      </c>
      <c r="C42" s="42" t="s">
        <v>120</v>
      </c>
      <c r="D42" s="40" t="s">
        <v>53</v>
      </c>
      <c r="E42" s="363">
        <v>1</v>
      </c>
      <c r="F42" s="103"/>
      <c r="G42" s="368">
        <f t="shared" si="1"/>
        <v>0.16666666666666669</v>
      </c>
      <c r="H42" s="103"/>
      <c r="J42">
        <f t="shared" si="0"/>
        <v>0.16666666666666669</v>
      </c>
    </row>
    <row r="43" spans="1:10" customFormat="1" ht="12.75" x14ac:dyDescent="0.2">
      <c r="A43" s="345" t="s">
        <v>121</v>
      </c>
      <c r="B43" s="348" t="s">
        <v>122</v>
      </c>
      <c r="C43" s="42" t="s">
        <v>123</v>
      </c>
      <c r="D43" s="40" t="s">
        <v>53</v>
      </c>
      <c r="E43" s="363">
        <v>1</v>
      </c>
      <c r="F43" s="103"/>
      <c r="G43" s="368">
        <f t="shared" si="1"/>
        <v>0.16666666666666669</v>
      </c>
      <c r="H43" s="103"/>
      <c r="J43">
        <f t="shared" si="0"/>
        <v>0.16666666666666669</v>
      </c>
    </row>
    <row r="44" spans="1:10" customFormat="1" ht="25.5" x14ac:dyDescent="0.2">
      <c r="A44" s="345" t="s">
        <v>124</v>
      </c>
      <c r="B44" s="348" t="s">
        <v>125</v>
      </c>
      <c r="C44" s="345" t="s">
        <v>126</v>
      </c>
      <c r="D44" s="40" t="s">
        <v>53</v>
      </c>
      <c r="E44" s="363">
        <v>1</v>
      </c>
      <c r="F44" s="103"/>
      <c r="G44" s="368">
        <f t="shared" si="1"/>
        <v>0.16666666666666669</v>
      </c>
      <c r="H44" s="103"/>
      <c r="J44">
        <f t="shared" si="0"/>
        <v>0.16666666666666669</v>
      </c>
    </row>
    <row r="45" spans="1:10" customFormat="1" ht="25.5" x14ac:dyDescent="0.2">
      <c r="A45" s="345" t="s">
        <v>127</v>
      </c>
      <c r="B45" s="348" t="s">
        <v>128</v>
      </c>
      <c r="C45" s="345" t="s">
        <v>129</v>
      </c>
      <c r="D45" s="40" t="s">
        <v>130</v>
      </c>
      <c r="E45" s="363">
        <v>48</v>
      </c>
      <c r="F45" s="103"/>
      <c r="G45" s="368">
        <f t="shared" si="1"/>
        <v>8</v>
      </c>
      <c r="H45" s="103"/>
      <c r="J45">
        <f t="shared" si="0"/>
        <v>8</v>
      </c>
    </row>
    <row r="46" spans="1:10" customFormat="1" ht="12.75" x14ac:dyDescent="0.2">
      <c r="A46" s="47" t="s">
        <v>131</v>
      </c>
      <c r="B46" s="48"/>
      <c r="C46" s="47" t="s">
        <v>132</v>
      </c>
      <c r="D46" s="49"/>
      <c r="E46" s="364" t="s">
        <v>46</v>
      </c>
      <c r="F46" s="365"/>
      <c r="G46" s="365"/>
      <c r="H46" s="365"/>
      <c r="J46" t="e">
        <f t="shared" si="0"/>
        <v>#VALUE!</v>
      </c>
    </row>
    <row r="47" spans="1:10" customFormat="1" ht="12.75" x14ac:dyDescent="0.2">
      <c r="A47" s="345" t="s">
        <v>133</v>
      </c>
      <c r="B47" s="348" t="s">
        <v>134</v>
      </c>
      <c r="C47" s="345" t="s">
        <v>135</v>
      </c>
      <c r="D47" s="40" t="s">
        <v>43</v>
      </c>
      <c r="E47" s="363">
        <v>200</v>
      </c>
      <c r="F47" s="103"/>
      <c r="G47" s="368">
        <f t="shared" si="1"/>
        <v>33.333333333333336</v>
      </c>
      <c r="H47" s="103"/>
      <c r="J47">
        <f t="shared" si="0"/>
        <v>33.333333333333336</v>
      </c>
    </row>
    <row r="48" spans="1:10" customFormat="1" ht="25.5" x14ac:dyDescent="0.2">
      <c r="A48" s="345" t="s">
        <v>136</v>
      </c>
      <c r="B48" s="348" t="s">
        <v>137</v>
      </c>
      <c r="C48" s="345" t="s">
        <v>138</v>
      </c>
      <c r="D48" s="40" t="s">
        <v>43</v>
      </c>
      <c r="E48" s="363">
        <v>200</v>
      </c>
      <c r="F48" s="103"/>
      <c r="G48" s="368">
        <f t="shared" si="1"/>
        <v>33.333333333333336</v>
      </c>
      <c r="H48" s="103"/>
      <c r="J48">
        <f t="shared" si="0"/>
        <v>33.333333333333336</v>
      </c>
    </row>
    <row r="49" spans="1:8" customFormat="1" ht="12.75" x14ac:dyDescent="0.2">
      <c r="A49" s="54" t="s">
        <v>139</v>
      </c>
      <c r="B49" s="55"/>
      <c r="C49" s="54" t="s">
        <v>140</v>
      </c>
      <c r="D49" s="56"/>
      <c r="E49" s="366" t="s">
        <v>46</v>
      </c>
      <c r="F49" s="367"/>
      <c r="G49" s="367"/>
      <c r="H49" s="367"/>
    </row>
    <row r="50" spans="1:8" customFormat="1" ht="12.75" x14ac:dyDescent="0.2">
      <c r="A50" s="47" t="s">
        <v>141</v>
      </c>
      <c r="B50" s="48"/>
      <c r="C50" s="47" t="s">
        <v>140</v>
      </c>
      <c r="D50" s="49"/>
      <c r="E50" s="364" t="s">
        <v>46</v>
      </c>
      <c r="F50" s="365"/>
      <c r="G50" s="365"/>
      <c r="H50" s="365"/>
    </row>
    <row r="51" spans="1:8" customFormat="1" ht="12.75" x14ac:dyDescent="0.2">
      <c r="A51" s="65" t="s">
        <v>142</v>
      </c>
      <c r="B51" s="66"/>
      <c r="C51" s="65" t="s">
        <v>143</v>
      </c>
      <c r="D51" s="67"/>
      <c r="E51" s="369" t="s">
        <v>46</v>
      </c>
      <c r="F51" s="370"/>
      <c r="G51" s="370"/>
      <c r="H51" s="370"/>
    </row>
    <row r="52" spans="1:8" customFormat="1" ht="25.5" x14ac:dyDescent="0.2">
      <c r="A52" s="345" t="s">
        <v>144</v>
      </c>
      <c r="B52" s="38">
        <v>5501710</v>
      </c>
      <c r="C52" s="345" t="s">
        <v>145</v>
      </c>
      <c r="D52" s="40" t="s">
        <v>77</v>
      </c>
      <c r="E52" s="363">
        <v>12369.67</v>
      </c>
      <c r="F52" s="103"/>
      <c r="G52" s="103"/>
      <c r="H52" s="105"/>
    </row>
    <row r="53" spans="1:8" customFormat="1" ht="38.25" x14ac:dyDescent="0.2">
      <c r="A53" s="345" t="s">
        <v>146</v>
      </c>
      <c r="B53" s="38">
        <v>5501875</v>
      </c>
      <c r="C53" s="345" t="s">
        <v>147</v>
      </c>
      <c r="D53" s="40" t="s">
        <v>77</v>
      </c>
      <c r="E53" s="363">
        <v>15514.4</v>
      </c>
      <c r="F53" s="103" t="s">
        <v>148</v>
      </c>
      <c r="G53" s="103">
        <v>7881.44</v>
      </c>
      <c r="H53" s="105" t="s">
        <v>149</v>
      </c>
    </row>
    <row r="54" spans="1:8" customFormat="1" ht="25.5" x14ac:dyDescent="0.2">
      <c r="A54" s="345" t="s">
        <v>150</v>
      </c>
      <c r="B54" s="38">
        <v>5501876</v>
      </c>
      <c r="C54" s="345" t="s">
        <v>151</v>
      </c>
      <c r="D54" s="40" t="s">
        <v>77</v>
      </c>
      <c r="E54" s="363">
        <v>3823.23</v>
      </c>
      <c r="F54" s="103"/>
      <c r="G54" s="103">
        <v>818.38</v>
      </c>
      <c r="H54" s="105"/>
    </row>
    <row r="55" spans="1:8" customFormat="1" ht="38.25" x14ac:dyDescent="0.2">
      <c r="A55" s="345" t="s">
        <v>152</v>
      </c>
      <c r="B55" s="38">
        <v>5501878</v>
      </c>
      <c r="C55" s="345" t="s">
        <v>153</v>
      </c>
      <c r="D55" s="40" t="s">
        <v>77</v>
      </c>
      <c r="E55" s="363">
        <v>607.91</v>
      </c>
      <c r="F55" s="103"/>
      <c r="G55" s="103">
        <v>607.91</v>
      </c>
      <c r="H55" s="105"/>
    </row>
    <row r="56" spans="1:8" customFormat="1" ht="25.5" x14ac:dyDescent="0.2">
      <c r="A56" s="345" t="s">
        <v>154</v>
      </c>
      <c r="B56" s="38">
        <v>5501880</v>
      </c>
      <c r="C56" s="345" t="s">
        <v>155</v>
      </c>
      <c r="D56" s="40" t="s">
        <v>77</v>
      </c>
      <c r="E56" s="363">
        <v>13645</v>
      </c>
      <c r="F56" s="103"/>
      <c r="G56" s="103">
        <v>4053.5</v>
      </c>
      <c r="H56" s="105"/>
    </row>
    <row r="57" spans="1:8" customFormat="1" ht="38.25" x14ac:dyDescent="0.2">
      <c r="A57" s="345" t="s">
        <v>156</v>
      </c>
      <c r="B57" s="348">
        <v>5501881</v>
      </c>
      <c r="C57" s="345" t="s">
        <v>157</v>
      </c>
      <c r="D57" s="40" t="s">
        <v>77</v>
      </c>
      <c r="E57" s="363">
        <v>2746</v>
      </c>
      <c r="F57" s="103" t="s">
        <v>158</v>
      </c>
      <c r="G57" s="103">
        <v>603.53</v>
      </c>
      <c r="H57" s="105" t="s">
        <v>149</v>
      </c>
    </row>
    <row r="58" spans="1:8" customFormat="1" ht="38.25" x14ac:dyDescent="0.2">
      <c r="A58" s="42" t="s">
        <v>159</v>
      </c>
      <c r="B58" s="348">
        <v>5501885</v>
      </c>
      <c r="C58" s="42" t="s">
        <v>160</v>
      </c>
      <c r="D58" s="40" t="s">
        <v>77</v>
      </c>
      <c r="E58" s="363">
        <v>16454</v>
      </c>
      <c r="F58" s="103" t="s">
        <v>161</v>
      </c>
      <c r="G58" s="103">
        <v>4679.38</v>
      </c>
      <c r="H58" s="105" t="s">
        <v>149</v>
      </c>
    </row>
    <row r="59" spans="1:8" customFormat="1" ht="38.25" x14ac:dyDescent="0.2">
      <c r="A59" s="42" t="s">
        <v>162</v>
      </c>
      <c r="B59" s="348">
        <v>5915320</v>
      </c>
      <c r="C59" s="42" t="s">
        <v>163</v>
      </c>
      <c r="D59" s="40" t="s">
        <v>85</v>
      </c>
      <c r="E59" s="363">
        <v>6388.5</v>
      </c>
      <c r="F59" s="103"/>
      <c r="G59" s="103"/>
      <c r="H59" s="105"/>
    </row>
    <row r="60" spans="1:8" customFormat="1" ht="12.75" x14ac:dyDescent="0.2">
      <c r="A60" s="345" t="s">
        <v>164</v>
      </c>
      <c r="B60" s="383" t="s">
        <v>165</v>
      </c>
      <c r="C60" s="383"/>
      <c r="D60" s="40" t="s">
        <v>77</v>
      </c>
      <c r="E60" s="363">
        <v>57918</v>
      </c>
      <c r="F60" s="103" t="s">
        <v>166</v>
      </c>
      <c r="G60" s="103">
        <v>10391.84</v>
      </c>
      <c r="H60" s="103"/>
    </row>
    <row r="61" spans="1:8" customFormat="1" ht="12.75" x14ac:dyDescent="0.2">
      <c r="A61" s="54" t="s">
        <v>167</v>
      </c>
      <c r="B61" s="55"/>
      <c r="C61" s="54" t="s">
        <v>168</v>
      </c>
      <c r="D61" s="56"/>
      <c r="E61" s="366" t="s">
        <v>46</v>
      </c>
      <c r="F61" s="367"/>
      <c r="G61" s="367"/>
      <c r="H61" s="367"/>
    </row>
    <row r="62" spans="1:8" customFormat="1" ht="12.75" x14ac:dyDescent="0.2">
      <c r="A62" s="47" t="s">
        <v>169</v>
      </c>
      <c r="B62" s="48"/>
      <c r="C62" s="47" t="s">
        <v>168</v>
      </c>
      <c r="D62" s="49"/>
      <c r="E62" s="364" t="s">
        <v>46</v>
      </c>
      <c r="F62" s="365"/>
      <c r="G62" s="365"/>
      <c r="H62" s="365"/>
    </row>
    <row r="63" spans="1:8" customFormat="1" ht="12.75" x14ac:dyDescent="0.2">
      <c r="A63" s="65" t="s">
        <v>170</v>
      </c>
      <c r="B63" s="66"/>
      <c r="C63" s="65" t="s">
        <v>171</v>
      </c>
      <c r="D63" s="67"/>
      <c r="E63" s="369" t="s">
        <v>46</v>
      </c>
      <c r="F63" s="370"/>
      <c r="G63" s="370"/>
      <c r="H63" s="370"/>
    </row>
    <row r="64" spans="1:8" customFormat="1" ht="25.5" x14ac:dyDescent="0.2">
      <c r="A64" s="345" t="s">
        <v>172</v>
      </c>
      <c r="B64" s="348" t="s">
        <v>173</v>
      </c>
      <c r="C64" s="345" t="s">
        <v>174</v>
      </c>
      <c r="D64" s="40" t="s">
        <v>43</v>
      </c>
      <c r="E64" s="363">
        <v>1040</v>
      </c>
      <c r="F64" s="103"/>
      <c r="G64" s="103"/>
      <c r="H64" s="103"/>
    </row>
    <row r="65" spans="1:8" customFormat="1" ht="12.75" x14ac:dyDescent="0.2">
      <c r="A65" s="345" t="s">
        <v>175</v>
      </c>
      <c r="B65" s="348" t="s">
        <v>176</v>
      </c>
      <c r="C65" s="345" t="s">
        <v>177</v>
      </c>
      <c r="D65" s="40" t="s">
        <v>178</v>
      </c>
      <c r="E65" s="363">
        <v>2329</v>
      </c>
      <c r="F65" s="103"/>
      <c r="G65" s="103"/>
      <c r="H65" s="103"/>
    </row>
    <row r="66" spans="1:8" customFormat="1" ht="25.5" x14ac:dyDescent="0.2">
      <c r="A66" s="345" t="s">
        <v>179</v>
      </c>
      <c r="B66" s="348" t="s">
        <v>180</v>
      </c>
      <c r="C66" s="345" t="s">
        <v>181</v>
      </c>
      <c r="D66" s="40" t="s">
        <v>77</v>
      </c>
      <c r="E66" s="363">
        <v>1240</v>
      </c>
      <c r="F66" s="103"/>
      <c r="G66" s="103">
        <f>118*1.5*1</f>
        <v>177</v>
      </c>
      <c r="H66" s="103"/>
    </row>
    <row r="67" spans="1:8" customFormat="1" ht="25.5" x14ac:dyDescent="0.2">
      <c r="A67" s="345" t="s">
        <v>182</v>
      </c>
      <c r="B67" s="348" t="s">
        <v>183</v>
      </c>
      <c r="C67" s="345" t="s">
        <v>184</v>
      </c>
      <c r="D67" s="40" t="s">
        <v>77</v>
      </c>
      <c r="E67" s="363">
        <v>153</v>
      </c>
      <c r="F67" s="103"/>
      <c r="G67" s="103">
        <f>118*0.5*1</f>
        <v>59</v>
      </c>
      <c r="H67" s="103"/>
    </row>
    <row r="68" spans="1:8" customFormat="1" ht="12.75" x14ac:dyDescent="0.2">
      <c r="A68" s="345" t="s">
        <v>185</v>
      </c>
      <c r="B68" s="348" t="s">
        <v>186</v>
      </c>
      <c r="C68" s="345" t="s">
        <v>187</v>
      </c>
      <c r="D68" s="40" t="s">
        <v>77</v>
      </c>
      <c r="E68" s="363">
        <v>62</v>
      </c>
      <c r="F68" s="103"/>
      <c r="G68" s="103"/>
      <c r="H68" s="103"/>
    </row>
    <row r="69" spans="1:8" customFormat="1" ht="25.5" x14ac:dyDescent="0.2">
      <c r="A69" s="345" t="s">
        <v>188</v>
      </c>
      <c r="B69" s="348" t="s">
        <v>189</v>
      </c>
      <c r="C69" s="345" t="s">
        <v>190</v>
      </c>
      <c r="D69" s="40" t="s">
        <v>77</v>
      </c>
      <c r="E69" s="363">
        <v>857</v>
      </c>
      <c r="F69" s="103"/>
      <c r="G69" s="103">
        <f>G66+G67</f>
        <v>236</v>
      </c>
      <c r="H69" s="103"/>
    </row>
    <row r="70" spans="1:8" customFormat="1" ht="12.75" x14ac:dyDescent="0.2">
      <c r="A70" s="345" t="s">
        <v>191</v>
      </c>
      <c r="B70" s="348" t="s">
        <v>192</v>
      </c>
      <c r="C70" s="345" t="s">
        <v>193</v>
      </c>
      <c r="D70" s="40" t="s">
        <v>77</v>
      </c>
      <c r="E70" s="363">
        <v>616</v>
      </c>
      <c r="F70" s="103"/>
      <c r="G70" s="103"/>
      <c r="H70" s="103"/>
    </row>
    <row r="71" spans="1:8" customFormat="1" ht="25.5" x14ac:dyDescent="0.2">
      <c r="A71" s="345" t="s">
        <v>194</v>
      </c>
      <c r="B71" s="38"/>
      <c r="C71" s="345" t="s">
        <v>195</v>
      </c>
      <c r="D71" s="40" t="s">
        <v>85</v>
      </c>
      <c r="E71" s="363">
        <v>16847</v>
      </c>
      <c r="F71" s="103"/>
      <c r="G71" s="103"/>
      <c r="H71" s="103"/>
    </row>
    <row r="72" spans="1:8" customFormat="1" ht="12.75" x14ac:dyDescent="0.2">
      <c r="A72" s="65" t="s">
        <v>196</v>
      </c>
      <c r="B72" s="66"/>
      <c r="C72" s="65" t="s">
        <v>197</v>
      </c>
      <c r="D72" s="67"/>
      <c r="E72" s="369" t="s">
        <v>46</v>
      </c>
      <c r="F72" s="370"/>
      <c r="G72" s="370"/>
      <c r="H72" s="370"/>
    </row>
    <row r="73" spans="1:8" customFormat="1" ht="25.5" x14ac:dyDescent="0.2">
      <c r="A73" s="345" t="s">
        <v>198</v>
      </c>
      <c r="B73" s="38">
        <v>2003319</v>
      </c>
      <c r="C73" s="345" t="s">
        <v>199</v>
      </c>
      <c r="D73" s="40" t="s">
        <v>57</v>
      </c>
      <c r="E73" s="363">
        <v>1861.6</v>
      </c>
      <c r="F73" s="103"/>
      <c r="G73" s="103"/>
      <c r="H73" s="103"/>
    </row>
    <row r="74" spans="1:8" customFormat="1" ht="25.5" x14ac:dyDescent="0.2">
      <c r="A74" s="345" t="s">
        <v>200</v>
      </c>
      <c r="B74" s="38">
        <v>2003323</v>
      </c>
      <c r="C74" s="345" t="s">
        <v>201</v>
      </c>
      <c r="D74" s="40" t="s">
        <v>57</v>
      </c>
      <c r="E74" s="363">
        <v>402</v>
      </c>
      <c r="F74" s="103"/>
      <c r="G74" s="103"/>
      <c r="H74" s="103"/>
    </row>
    <row r="75" spans="1:8" customFormat="1" ht="25.5" x14ac:dyDescent="0.2">
      <c r="A75" s="345" t="s">
        <v>202</v>
      </c>
      <c r="B75" s="38">
        <v>2003343</v>
      </c>
      <c r="C75" s="345" t="s">
        <v>203</v>
      </c>
      <c r="D75" s="40" t="s">
        <v>57</v>
      </c>
      <c r="E75" s="363">
        <v>112.5</v>
      </c>
      <c r="F75" s="103"/>
      <c r="G75" s="103"/>
      <c r="H75" s="103"/>
    </row>
    <row r="76" spans="1:8" customFormat="1" ht="25.5" x14ac:dyDescent="0.2">
      <c r="A76" s="345" t="s">
        <v>204</v>
      </c>
      <c r="B76" s="38">
        <v>2003353</v>
      </c>
      <c r="C76" s="345" t="s">
        <v>205</v>
      </c>
      <c r="D76" s="40" t="s">
        <v>57</v>
      </c>
      <c r="E76" s="363">
        <v>210</v>
      </c>
      <c r="F76" s="103"/>
      <c r="G76" s="103"/>
      <c r="H76" s="103"/>
    </row>
    <row r="77" spans="1:8" customFormat="1" ht="25.5" x14ac:dyDescent="0.2">
      <c r="A77" s="345" t="s">
        <v>206</v>
      </c>
      <c r="B77" s="38">
        <v>2003355</v>
      </c>
      <c r="C77" s="345" t="s">
        <v>207</v>
      </c>
      <c r="D77" s="40" t="s">
        <v>57</v>
      </c>
      <c r="E77" s="363">
        <v>255</v>
      </c>
      <c r="F77" s="103"/>
      <c r="G77" s="103"/>
      <c r="H77" s="103"/>
    </row>
    <row r="78" spans="1:8" customFormat="1" ht="25.5" x14ac:dyDescent="0.2">
      <c r="A78" s="345" t="s">
        <v>208</v>
      </c>
      <c r="B78" s="38">
        <v>2003307</v>
      </c>
      <c r="C78" s="345" t="s">
        <v>209</v>
      </c>
      <c r="D78" s="40" t="s">
        <v>57</v>
      </c>
      <c r="E78" s="363">
        <v>149</v>
      </c>
      <c r="F78" s="103"/>
      <c r="G78" s="103"/>
      <c r="H78" s="103"/>
    </row>
    <row r="79" spans="1:8" customFormat="1" ht="25.5" x14ac:dyDescent="0.2">
      <c r="A79" s="345" t="s">
        <v>210</v>
      </c>
      <c r="B79" s="38">
        <v>2003373</v>
      </c>
      <c r="C79" s="345" t="s">
        <v>211</v>
      </c>
      <c r="D79" s="40" t="s">
        <v>57</v>
      </c>
      <c r="E79" s="363">
        <v>3450.2</v>
      </c>
      <c r="F79" s="103"/>
      <c r="G79" s="103"/>
      <c r="H79" s="103"/>
    </row>
    <row r="80" spans="1:8" customFormat="1" ht="25.5" x14ac:dyDescent="0.2">
      <c r="A80" s="345" t="s">
        <v>212</v>
      </c>
      <c r="B80" s="38">
        <v>2003377</v>
      </c>
      <c r="C80" s="345" t="s">
        <v>213</v>
      </c>
      <c r="D80" s="40" t="s">
        <v>57</v>
      </c>
      <c r="E80" s="363">
        <v>1432</v>
      </c>
      <c r="F80" s="103"/>
      <c r="G80" s="103"/>
      <c r="H80" s="103"/>
    </row>
    <row r="81" spans="1:8" customFormat="1" ht="25.5" x14ac:dyDescent="0.2">
      <c r="A81" s="345" t="s">
        <v>214</v>
      </c>
      <c r="B81" s="38">
        <v>2003385</v>
      </c>
      <c r="C81" s="345" t="s">
        <v>215</v>
      </c>
      <c r="D81" s="40" t="s">
        <v>216</v>
      </c>
      <c r="E81" s="363">
        <v>53</v>
      </c>
      <c r="F81" s="103"/>
      <c r="G81" s="103"/>
      <c r="H81" s="103"/>
    </row>
    <row r="82" spans="1:8" customFormat="1" ht="25.5" x14ac:dyDescent="0.2">
      <c r="A82" s="345" t="s">
        <v>217</v>
      </c>
      <c r="B82" s="38">
        <v>2003387</v>
      </c>
      <c r="C82" s="345" t="s">
        <v>218</v>
      </c>
      <c r="D82" s="40" t="s">
        <v>216</v>
      </c>
      <c r="E82" s="363">
        <v>13</v>
      </c>
      <c r="F82" s="103"/>
      <c r="G82" s="103"/>
      <c r="H82" s="103"/>
    </row>
    <row r="83" spans="1:8" customFormat="1" ht="25.5" x14ac:dyDescent="0.2">
      <c r="A83" s="345" t="s">
        <v>219</v>
      </c>
      <c r="B83" s="38">
        <v>2003361</v>
      </c>
      <c r="C83" s="345" t="s">
        <v>220</v>
      </c>
      <c r="D83" s="40" t="s">
        <v>57</v>
      </c>
      <c r="E83" s="363">
        <v>163</v>
      </c>
      <c r="F83" s="103"/>
      <c r="G83" s="103"/>
      <c r="H83" s="103"/>
    </row>
    <row r="84" spans="1:8" customFormat="1" ht="25.5" x14ac:dyDescent="0.2">
      <c r="A84" s="345" t="s">
        <v>221</v>
      </c>
      <c r="B84" s="348">
        <v>2003407</v>
      </c>
      <c r="C84" s="42" t="s">
        <v>222</v>
      </c>
      <c r="D84" s="40" t="s">
        <v>57</v>
      </c>
      <c r="E84" s="363">
        <v>212</v>
      </c>
      <c r="F84" s="103"/>
      <c r="G84" s="103"/>
      <c r="H84" s="103"/>
    </row>
    <row r="85" spans="1:8" customFormat="1" ht="25.5" x14ac:dyDescent="0.2">
      <c r="A85" s="42" t="s">
        <v>223</v>
      </c>
      <c r="B85" s="38">
        <v>2003393</v>
      </c>
      <c r="C85" s="43" t="s">
        <v>224</v>
      </c>
      <c r="D85" s="40" t="s">
        <v>57</v>
      </c>
      <c r="E85" s="363">
        <v>61.5</v>
      </c>
      <c r="F85" s="103"/>
      <c r="G85" s="103"/>
      <c r="H85" s="103"/>
    </row>
    <row r="86" spans="1:8" customFormat="1" ht="25.5" x14ac:dyDescent="0.2">
      <c r="A86" s="42" t="s">
        <v>225</v>
      </c>
      <c r="B86" s="38">
        <v>2003449</v>
      </c>
      <c r="C86" s="43" t="s">
        <v>226</v>
      </c>
      <c r="D86" s="40" t="s">
        <v>216</v>
      </c>
      <c r="E86" s="363">
        <v>30</v>
      </c>
      <c r="F86" s="103"/>
      <c r="G86" s="103"/>
      <c r="H86" s="103"/>
    </row>
    <row r="87" spans="1:8" customFormat="1" ht="25.5" x14ac:dyDescent="0.2">
      <c r="A87" s="42" t="s">
        <v>227</v>
      </c>
      <c r="B87" s="38">
        <v>2003451</v>
      </c>
      <c r="C87" s="43" t="s">
        <v>228</v>
      </c>
      <c r="D87" s="40" t="s">
        <v>216</v>
      </c>
      <c r="E87" s="363">
        <v>26</v>
      </c>
      <c r="F87" s="103"/>
      <c r="G87" s="103"/>
      <c r="H87" s="103"/>
    </row>
    <row r="88" spans="1:8" customFormat="1" ht="25.5" x14ac:dyDescent="0.2">
      <c r="A88" s="42" t="s">
        <v>229</v>
      </c>
      <c r="B88" s="38">
        <v>2003453</v>
      </c>
      <c r="C88" s="43" t="s">
        <v>230</v>
      </c>
      <c r="D88" s="40" t="s">
        <v>216</v>
      </c>
      <c r="E88" s="363">
        <v>2</v>
      </c>
      <c r="F88" s="103"/>
      <c r="G88" s="103"/>
      <c r="H88" s="103"/>
    </row>
    <row r="89" spans="1:8" customFormat="1" ht="25.5" x14ac:dyDescent="0.2">
      <c r="A89" s="42" t="s">
        <v>231</v>
      </c>
      <c r="B89" s="38">
        <v>2003455</v>
      </c>
      <c r="C89" s="43" t="s">
        <v>232</v>
      </c>
      <c r="D89" s="40" t="s">
        <v>216</v>
      </c>
      <c r="E89" s="363">
        <v>6</v>
      </c>
      <c r="F89" s="103"/>
      <c r="G89" s="103"/>
      <c r="H89" s="103"/>
    </row>
    <row r="90" spans="1:8" customFormat="1" ht="25.5" x14ac:dyDescent="0.2">
      <c r="A90" s="42" t="s">
        <v>233</v>
      </c>
      <c r="B90" s="38">
        <v>2003459</v>
      </c>
      <c r="C90" s="43" t="s">
        <v>234</v>
      </c>
      <c r="D90" s="40" t="s">
        <v>216</v>
      </c>
      <c r="E90" s="363">
        <v>13</v>
      </c>
      <c r="F90" s="103"/>
      <c r="G90" s="103"/>
      <c r="H90" s="103"/>
    </row>
    <row r="91" spans="1:8" customFormat="1" ht="25.5" x14ac:dyDescent="0.2">
      <c r="A91" s="42" t="s">
        <v>235</v>
      </c>
      <c r="B91" s="38">
        <v>2003465</v>
      </c>
      <c r="C91" s="43" t="s">
        <v>236</v>
      </c>
      <c r="D91" s="40" t="s">
        <v>216</v>
      </c>
      <c r="E91" s="363">
        <v>1</v>
      </c>
      <c r="F91" s="103"/>
      <c r="G91" s="103"/>
      <c r="H91" s="103"/>
    </row>
    <row r="92" spans="1:8" customFormat="1" ht="25.5" x14ac:dyDescent="0.2">
      <c r="A92" s="42" t="s">
        <v>237</v>
      </c>
      <c r="B92" s="38">
        <v>2003445</v>
      </c>
      <c r="C92" s="43" t="s">
        <v>238</v>
      </c>
      <c r="D92" s="40" t="s">
        <v>216</v>
      </c>
      <c r="E92" s="363">
        <v>12</v>
      </c>
      <c r="F92" s="103"/>
      <c r="G92" s="103"/>
      <c r="H92" s="103"/>
    </row>
    <row r="93" spans="1:8" customFormat="1" ht="25.5" x14ac:dyDescent="0.2">
      <c r="A93" s="42" t="s">
        <v>239</v>
      </c>
      <c r="B93" s="38">
        <v>2003443</v>
      </c>
      <c r="C93" s="43" t="s">
        <v>240</v>
      </c>
      <c r="D93" s="40" t="s">
        <v>216</v>
      </c>
      <c r="E93" s="363">
        <v>1</v>
      </c>
      <c r="F93" s="103"/>
      <c r="G93" s="103"/>
      <c r="H93" s="103"/>
    </row>
    <row r="94" spans="1:8" customFormat="1" ht="25.5" x14ac:dyDescent="0.2">
      <c r="A94" s="42" t="s">
        <v>241</v>
      </c>
      <c r="B94" s="38">
        <v>2003730</v>
      </c>
      <c r="C94" s="43" t="s">
        <v>242</v>
      </c>
      <c r="D94" s="40" t="s">
        <v>216</v>
      </c>
      <c r="E94" s="363">
        <v>3</v>
      </c>
      <c r="F94" s="103"/>
      <c r="G94" s="103"/>
      <c r="H94" s="103"/>
    </row>
    <row r="95" spans="1:8" customFormat="1" ht="25.5" x14ac:dyDescent="0.2">
      <c r="A95" s="42" t="s">
        <v>243</v>
      </c>
      <c r="B95" s="38">
        <v>2003734</v>
      </c>
      <c r="C95" s="43" t="s">
        <v>244</v>
      </c>
      <c r="D95" s="40" t="s">
        <v>216</v>
      </c>
      <c r="E95" s="363">
        <v>10</v>
      </c>
      <c r="F95" s="103"/>
      <c r="G95" s="103"/>
      <c r="H95" s="103"/>
    </row>
    <row r="96" spans="1:8" customFormat="1" ht="25.5" x14ac:dyDescent="0.2">
      <c r="A96" s="42" t="s">
        <v>245</v>
      </c>
      <c r="B96" s="38">
        <v>2003738</v>
      </c>
      <c r="C96" s="43" t="s">
        <v>246</v>
      </c>
      <c r="D96" s="40" t="s">
        <v>216</v>
      </c>
      <c r="E96" s="363">
        <v>1</v>
      </c>
      <c r="F96" s="103"/>
      <c r="G96" s="103"/>
      <c r="H96" s="103"/>
    </row>
    <row r="97" spans="1:8" customFormat="1" ht="25.5" x14ac:dyDescent="0.2">
      <c r="A97" s="42" t="s">
        <v>247</v>
      </c>
      <c r="B97" s="38">
        <v>2003746</v>
      </c>
      <c r="C97" s="43" t="s">
        <v>248</v>
      </c>
      <c r="D97" s="40" t="s">
        <v>216</v>
      </c>
      <c r="E97" s="363">
        <v>1</v>
      </c>
      <c r="F97" s="103"/>
      <c r="G97" s="103"/>
      <c r="H97" s="103"/>
    </row>
    <row r="98" spans="1:8" customFormat="1" ht="25.5" x14ac:dyDescent="0.2">
      <c r="A98" s="42" t="s">
        <v>249</v>
      </c>
      <c r="B98" s="38">
        <v>804081</v>
      </c>
      <c r="C98" s="43" t="s">
        <v>250</v>
      </c>
      <c r="D98" s="40" t="s">
        <v>216</v>
      </c>
      <c r="E98" s="363">
        <v>1</v>
      </c>
      <c r="F98" s="103"/>
      <c r="G98" s="103"/>
      <c r="H98" s="103"/>
    </row>
    <row r="99" spans="1:8" customFormat="1" ht="25.5" x14ac:dyDescent="0.2">
      <c r="A99" s="42" t="s">
        <v>251</v>
      </c>
      <c r="B99" s="38">
        <v>804101</v>
      </c>
      <c r="C99" s="43" t="s">
        <v>252</v>
      </c>
      <c r="D99" s="40" t="s">
        <v>216</v>
      </c>
      <c r="E99" s="363">
        <v>7</v>
      </c>
      <c r="F99" s="103"/>
      <c r="G99" s="103"/>
      <c r="H99" s="103"/>
    </row>
    <row r="100" spans="1:8" customFormat="1" ht="25.5" x14ac:dyDescent="0.2">
      <c r="A100" s="42" t="s">
        <v>253</v>
      </c>
      <c r="B100" s="348">
        <v>804141</v>
      </c>
      <c r="C100" s="42" t="s">
        <v>254</v>
      </c>
      <c r="D100" s="40" t="s">
        <v>118</v>
      </c>
      <c r="E100" s="363">
        <v>16</v>
      </c>
      <c r="F100" s="103"/>
      <c r="G100" s="103"/>
      <c r="H100" s="103"/>
    </row>
    <row r="101" spans="1:8" customFormat="1" ht="25.5" x14ac:dyDescent="0.2">
      <c r="A101" s="345" t="s">
        <v>255</v>
      </c>
      <c r="B101" s="348">
        <v>804253</v>
      </c>
      <c r="C101" s="42" t="s">
        <v>256</v>
      </c>
      <c r="D101" s="40" t="s">
        <v>216</v>
      </c>
      <c r="E101" s="363">
        <v>2</v>
      </c>
      <c r="F101" s="103"/>
      <c r="G101" s="103"/>
      <c r="H101" s="103"/>
    </row>
    <row r="102" spans="1:8" customFormat="1" ht="25.5" x14ac:dyDescent="0.2">
      <c r="A102" s="345" t="s">
        <v>257</v>
      </c>
      <c r="B102" s="38">
        <v>705338</v>
      </c>
      <c r="C102" s="42" t="s">
        <v>258</v>
      </c>
      <c r="D102" s="40" t="s">
        <v>216</v>
      </c>
      <c r="E102" s="363">
        <v>2</v>
      </c>
      <c r="F102" s="104"/>
      <c r="G102" s="103"/>
      <c r="H102" s="103"/>
    </row>
    <row r="103" spans="1:8" customFormat="1" ht="25.5" x14ac:dyDescent="0.2">
      <c r="A103" s="345" t="s">
        <v>259</v>
      </c>
      <c r="B103" s="38">
        <v>705303</v>
      </c>
      <c r="C103" s="42" t="s">
        <v>260</v>
      </c>
      <c r="D103" s="40" t="s">
        <v>57</v>
      </c>
      <c r="E103" s="363">
        <v>26</v>
      </c>
      <c r="F103" s="104"/>
      <c r="G103" s="103"/>
      <c r="H103" s="103"/>
    </row>
    <row r="104" spans="1:8" customFormat="1" ht="12.75" x14ac:dyDescent="0.2">
      <c r="A104" s="345" t="s">
        <v>261</v>
      </c>
      <c r="B104" s="348" t="s">
        <v>262</v>
      </c>
      <c r="C104" s="42" t="s">
        <v>263</v>
      </c>
      <c r="D104" s="40" t="s">
        <v>77</v>
      </c>
      <c r="E104" s="363">
        <v>39</v>
      </c>
      <c r="F104" s="104"/>
      <c r="G104" s="103"/>
      <c r="H104" s="103"/>
    </row>
    <row r="105" spans="1:8" customFormat="1" ht="25.5" x14ac:dyDescent="0.2">
      <c r="A105" s="345" t="s">
        <v>264</v>
      </c>
      <c r="B105" s="38">
        <v>804015</v>
      </c>
      <c r="C105" s="42" t="s">
        <v>265</v>
      </c>
      <c r="D105" s="40" t="s">
        <v>57</v>
      </c>
      <c r="E105" s="363">
        <v>39</v>
      </c>
      <c r="F105" s="104" t="s">
        <v>266</v>
      </c>
      <c r="G105" s="103">
        <f>31</f>
        <v>31</v>
      </c>
      <c r="H105" s="103"/>
    </row>
    <row r="106" spans="1:8" customFormat="1" ht="51" x14ac:dyDescent="0.2">
      <c r="A106" s="345" t="s">
        <v>267</v>
      </c>
      <c r="B106" s="38">
        <v>804023</v>
      </c>
      <c r="C106" s="42" t="s">
        <v>268</v>
      </c>
      <c r="D106" s="40" t="s">
        <v>57</v>
      </c>
      <c r="E106" s="363">
        <v>141</v>
      </c>
      <c r="F106" s="104" t="s">
        <v>269</v>
      </c>
      <c r="G106" s="103">
        <f>20+20+23+24</f>
        <v>87</v>
      </c>
      <c r="H106" s="103"/>
    </row>
    <row r="107" spans="1:8" customFormat="1" ht="25.5" x14ac:dyDescent="0.2">
      <c r="A107" s="345" t="s">
        <v>270</v>
      </c>
      <c r="B107" s="38">
        <v>804031</v>
      </c>
      <c r="C107" s="42" t="s">
        <v>271</v>
      </c>
      <c r="D107" s="40" t="s">
        <v>57</v>
      </c>
      <c r="E107" s="363">
        <v>104</v>
      </c>
      <c r="F107" s="104" t="s">
        <v>272</v>
      </c>
      <c r="G107" s="103">
        <v>30</v>
      </c>
      <c r="H107" s="104"/>
    </row>
    <row r="108" spans="1:8" customFormat="1" ht="25.5" x14ac:dyDescent="0.2">
      <c r="A108" s="345" t="s">
        <v>273</v>
      </c>
      <c r="B108" s="348">
        <v>804047</v>
      </c>
      <c r="C108" s="42" t="s">
        <v>274</v>
      </c>
      <c r="D108" s="40" t="s">
        <v>57</v>
      </c>
      <c r="E108" s="363">
        <v>17</v>
      </c>
      <c r="F108" s="104"/>
      <c r="G108" s="103"/>
      <c r="H108" s="104"/>
    </row>
    <row r="109" spans="1:8" customFormat="1" ht="25.5" x14ac:dyDescent="0.2">
      <c r="A109" s="345" t="s">
        <v>275</v>
      </c>
      <c r="B109" s="38">
        <v>804199</v>
      </c>
      <c r="C109" s="345" t="s">
        <v>276</v>
      </c>
      <c r="D109" s="40" t="s">
        <v>57</v>
      </c>
      <c r="E109" s="363">
        <v>21</v>
      </c>
      <c r="F109" s="104" t="s">
        <v>277</v>
      </c>
      <c r="G109" s="103">
        <v>21</v>
      </c>
      <c r="H109" s="103"/>
    </row>
    <row r="110" spans="1:8" customFormat="1" ht="25.5" x14ac:dyDescent="0.2">
      <c r="A110" s="345" t="s">
        <v>278</v>
      </c>
      <c r="B110" s="348" t="s">
        <v>279</v>
      </c>
      <c r="C110" s="44" t="s">
        <v>280</v>
      </c>
      <c r="D110" s="40" t="s">
        <v>53</v>
      </c>
      <c r="E110" s="363">
        <v>9</v>
      </c>
      <c r="F110" s="104"/>
      <c r="G110" s="103"/>
      <c r="H110" s="103"/>
    </row>
    <row r="111" spans="1:8" customFormat="1" ht="25.5" x14ac:dyDescent="0.2">
      <c r="A111" s="345" t="s">
        <v>281</v>
      </c>
      <c r="B111" s="348" t="s">
        <v>282</v>
      </c>
      <c r="C111" s="44" t="s">
        <v>283</v>
      </c>
      <c r="D111" s="40" t="s">
        <v>53</v>
      </c>
      <c r="E111" s="363">
        <v>3</v>
      </c>
      <c r="F111" s="104"/>
      <c r="G111" s="103"/>
      <c r="H111" s="103"/>
    </row>
    <row r="112" spans="1:8" customFormat="1" ht="12.75" x14ac:dyDescent="0.2">
      <c r="A112" s="345" t="s">
        <v>284</v>
      </c>
      <c r="B112" s="348" t="s">
        <v>285</v>
      </c>
      <c r="C112" s="345" t="s">
        <v>286</v>
      </c>
      <c r="D112" s="40" t="s">
        <v>43</v>
      </c>
      <c r="E112" s="363">
        <v>15.2</v>
      </c>
      <c r="F112" s="104"/>
      <c r="G112" s="103"/>
      <c r="H112" s="103"/>
    </row>
    <row r="113" spans="1:8" customFormat="1" ht="12.75" x14ac:dyDescent="0.2">
      <c r="A113" s="65" t="s">
        <v>287</v>
      </c>
      <c r="B113" s="66"/>
      <c r="C113" s="65" t="s">
        <v>288</v>
      </c>
      <c r="D113" s="67"/>
      <c r="E113" s="369" t="s">
        <v>46</v>
      </c>
      <c r="F113" s="370"/>
      <c r="G113" s="370"/>
      <c r="H113" s="370"/>
    </row>
    <row r="114" spans="1:8" customFormat="1" ht="25.5" x14ac:dyDescent="0.2">
      <c r="A114" s="345" t="s">
        <v>289</v>
      </c>
      <c r="B114" s="348" t="s">
        <v>290</v>
      </c>
      <c r="C114" s="345" t="s">
        <v>291</v>
      </c>
      <c r="D114" s="40" t="s">
        <v>43</v>
      </c>
      <c r="E114" s="363">
        <v>1425</v>
      </c>
      <c r="F114" s="103"/>
      <c r="G114" s="103"/>
      <c r="H114" s="103"/>
    </row>
    <row r="115" spans="1:8" customFormat="1" ht="25.5" x14ac:dyDescent="0.2">
      <c r="A115" s="345" t="s">
        <v>292</v>
      </c>
      <c r="B115" s="348" t="s">
        <v>293</v>
      </c>
      <c r="C115" s="345" t="s">
        <v>294</v>
      </c>
      <c r="D115" s="40" t="s">
        <v>295</v>
      </c>
      <c r="E115" s="363">
        <v>9263</v>
      </c>
      <c r="F115" s="103"/>
      <c r="G115" s="103"/>
      <c r="H115" s="103"/>
    </row>
    <row r="116" spans="1:8" customFormat="1" ht="25.5" x14ac:dyDescent="0.2">
      <c r="A116" s="345" t="s">
        <v>296</v>
      </c>
      <c r="B116" s="348" t="s">
        <v>297</v>
      </c>
      <c r="C116" s="345" t="s">
        <v>298</v>
      </c>
      <c r="D116" s="40" t="s">
        <v>295</v>
      </c>
      <c r="E116" s="363">
        <v>4703</v>
      </c>
      <c r="F116" s="103"/>
      <c r="G116" s="103"/>
      <c r="H116" s="103"/>
    </row>
    <row r="117" spans="1:8" customFormat="1" ht="25.5" x14ac:dyDescent="0.2">
      <c r="A117" s="345" t="s">
        <v>299</v>
      </c>
      <c r="B117" s="348" t="s">
        <v>300</v>
      </c>
      <c r="C117" s="345" t="s">
        <v>301</v>
      </c>
      <c r="D117" s="40" t="s">
        <v>77</v>
      </c>
      <c r="E117" s="363">
        <v>152</v>
      </c>
      <c r="F117" s="103"/>
      <c r="G117" s="103"/>
      <c r="H117" s="103"/>
    </row>
    <row r="118" spans="1:8" customFormat="1" ht="25.5" x14ac:dyDescent="0.2">
      <c r="A118" s="345" t="s">
        <v>302</v>
      </c>
      <c r="B118" s="348" t="s">
        <v>303</v>
      </c>
      <c r="C118" s="345" t="s">
        <v>304</v>
      </c>
      <c r="D118" s="40" t="s">
        <v>43</v>
      </c>
      <c r="E118" s="363">
        <v>275</v>
      </c>
      <c r="F118" s="103"/>
      <c r="G118" s="103"/>
      <c r="H118" s="103"/>
    </row>
    <row r="119" spans="1:8" customFormat="1" ht="25.5" x14ac:dyDescent="0.2">
      <c r="A119" s="345" t="s">
        <v>305</v>
      </c>
      <c r="B119" s="348" t="s">
        <v>306</v>
      </c>
      <c r="C119" s="345" t="s">
        <v>307</v>
      </c>
      <c r="D119" s="40" t="s">
        <v>77</v>
      </c>
      <c r="E119" s="363">
        <v>23</v>
      </c>
      <c r="F119" s="103"/>
      <c r="G119" s="103"/>
      <c r="H119" s="103"/>
    </row>
    <row r="120" spans="1:8" customFormat="1" ht="12.75" x14ac:dyDescent="0.2">
      <c r="A120" s="65" t="s">
        <v>308</v>
      </c>
      <c r="B120" s="66"/>
      <c r="C120" s="65" t="s">
        <v>309</v>
      </c>
      <c r="D120" s="67"/>
      <c r="E120" s="369" t="s">
        <v>46</v>
      </c>
      <c r="F120" s="370"/>
      <c r="G120" s="370"/>
      <c r="H120" s="370"/>
    </row>
    <row r="121" spans="1:8" customFormat="1" ht="25.5" x14ac:dyDescent="0.2">
      <c r="A121" s="345" t="s">
        <v>310</v>
      </c>
      <c r="B121" s="348" t="s">
        <v>290</v>
      </c>
      <c r="C121" s="345" t="s">
        <v>291</v>
      </c>
      <c r="D121" s="40" t="s">
        <v>43</v>
      </c>
      <c r="E121" s="363">
        <v>188</v>
      </c>
      <c r="F121" s="103"/>
      <c r="G121" s="103"/>
      <c r="H121" s="103"/>
    </row>
    <row r="122" spans="1:8" customFormat="1" ht="25.5" x14ac:dyDescent="0.2">
      <c r="A122" s="345" t="s">
        <v>311</v>
      </c>
      <c r="B122" s="348" t="s">
        <v>180</v>
      </c>
      <c r="C122" s="345" t="s">
        <v>181</v>
      </c>
      <c r="D122" s="40" t="s">
        <v>77</v>
      </c>
      <c r="E122" s="363">
        <v>138</v>
      </c>
      <c r="F122" s="103"/>
      <c r="G122" s="103"/>
      <c r="H122" s="103"/>
    </row>
    <row r="123" spans="1:8" customFormat="1" ht="25.5" x14ac:dyDescent="0.2">
      <c r="A123" s="345" t="s">
        <v>312</v>
      </c>
      <c r="B123" s="348" t="s">
        <v>313</v>
      </c>
      <c r="C123" s="345" t="s">
        <v>314</v>
      </c>
      <c r="D123" s="40" t="s">
        <v>77</v>
      </c>
      <c r="E123" s="363">
        <v>4.2</v>
      </c>
      <c r="F123" s="103"/>
      <c r="G123" s="103"/>
      <c r="H123" s="103"/>
    </row>
    <row r="124" spans="1:8" customFormat="1" ht="12.75" x14ac:dyDescent="0.2">
      <c r="A124" s="65" t="s">
        <v>315</v>
      </c>
      <c r="B124" s="66"/>
      <c r="C124" s="65" t="s">
        <v>316</v>
      </c>
      <c r="D124" s="67"/>
      <c r="E124" s="369" t="s">
        <v>46</v>
      </c>
      <c r="F124" s="370"/>
      <c r="G124" s="370"/>
      <c r="H124" s="370"/>
    </row>
    <row r="125" spans="1:8" customFormat="1" ht="25.5" x14ac:dyDescent="0.2">
      <c r="A125" s="345" t="s">
        <v>317</v>
      </c>
      <c r="B125" s="348" t="s">
        <v>318</v>
      </c>
      <c r="C125" s="345" t="s">
        <v>319</v>
      </c>
      <c r="D125" s="40" t="s">
        <v>77</v>
      </c>
      <c r="E125" s="363">
        <v>5.25</v>
      </c>
      <c r="F125" s="103"/>
      <c r="G125" s="103"/>
      <c r="H125" s="103"/>
    </row>
    <row r="126" spans="1:8" customFormat="1" ht="12.75" x14ac:dyDescent="0.2">
      <c r="A126" s="54" t="s">
        <v>320</v>
      </c>
      <c r="B126" s="55"/>
      <c r="C126" s="54" t="s">
        <v>321</v>
      </c>
      <c r="D126" s="56"/>
      <c r="E126" s="366" t="s">
        <v>46</v>
      </c>
      <c r="F126" s="367"/>
      <c r="G126" s="367"/>
      <c r="H126" s="367"/>
    </row>
    <row r="127" spans="1:8" customFormat="1" ht="12.75" x14ac:dyDescent="0.2">
      <c r="A127" s="47" t="s">
        <v>322</v>
      </c>
      <c r="B127" s="48"/>
      <c r="C127" s="47" t="s">
        <v>323</v>
      </c>
      <c r="D127" s="49"/>
      <c r="E127" s="364" t="s">
        <v>46</v>
      </c>
      <c r="F127" s="365"/>
      <c r="G127" s="365"/>
      <c r="H127" s="365"/>
    </row>
    <row r="128" spans="1:8" customFormat="1" ht="12.75" x14ac:dyDescent="0.2">
      <c r="A128" s="345" t="s">
        <v>324</v>
      </c>
      <c r="B128" s="38"/>
      <c r="C128" s="345" t="s">
        <v>325</v>
      </c>
      <c r="D128" s="40" t="s">
        <v>43</v>
      </c>
      <c r="E128" s="363">
        <v>73799.7</v>
      </c>
      <c r="F128" s="103"/>
      <c r="G128" s="103"/>
      <c r="H128" s="103"/>
    </row>
    <row r="129" spans="1:8" customFormat="1" ht="12.75" x14ac:dyDescent="0.2">
      <c r="A129" s="47" t="s">
        <v>326</v>
      </c>
      <c r="B129" s="48"/>
      <c r="C129" s="47" t="s">
        <v>327</v>
      </c>
      <c r="D129" s="49"/>
      <c r="E129" s="364" t="s">
        <v>46</v>
      </c>
      <c r="F129" s="365"/>
      <c r="G129" s="365"/>
      <c r="H129" s="365"/>
    </row>
    <row r="130" spans="1:8" customFormat="1" ht="12.75" x14ac:dyDescent="0.2">
      <c r="A130" s="65" t="s">
        <v>328</v>
      </c>
      <c r="B130" s="66"/>
      <c r="C130" s="65" t="s">
        <v>329</v>
      </c>
      <c r="D130" s="67"/>
      <c r="E130" s="369" t="s">
        <v>46</v>
      </c>
      <c r="F130" s="370"/>
      <c r="G130" s="370"/>
      <c r="H130" s="370"/>
    </row>
    <row r="131" spans="1:8" customFormat="1" ht="25.5" x14ac:dyDescent="0.2">
      <c r="A131" s="345" t="s">
        <v>330</v>
      </c>
      <c r="B131" s="348" t="s">
        <v>81</v>
      </c>
      <c r="C131" s="345" t="s">
        <v>82</v>
      </c>
      <c r="D131" s="40" t="s">
        <v>77</v>
      </c>
      <c r="E131" s="363">
        <v>32506.82</v>
      </c>
      <c r="F131" s="102" t="s">
        <v>331</v>
      </c>
      <c r="G131" s="103">
        <v>5111.49</v>
      </c>
      <c r="H131" s="103" t="s">
        <v>332</v>
      </c>
    </row>
    <row r="132" spans="1:8" customFormat="1" ht="25.5" x14ac:dyDescent="0.2">
      <c r="A132" s="345" t="s">
        <v>333</v>
      </c>
      <c r="B132" s="38">
        <v>5914389</v>
      </c>
      <c r="C132" s="345" t="s">
        <v>334</v>
      </c>
      <c r="D132" s="40" t="s">
        <v>85</v>
      </c>
      <c r="E132" s="363">
        <v>153594.72</v>
      </c>
      <c r="F132" s="102" t="s">
        <v>335</v>
      </c>
      <c r="G132" s="103">
        <f>G131*1.5*3</f>
        <v>23001.704999999998</v>
      </c>
      <c r="H132" s="103" t="s">
        <v>336</v>
      </c>
    </row>
    <row r="133" spans="1:8" customFormat="1" ht="25.5" x14ac:dyDescent="0.2">
      <c r="A133" s="345" t="s">
        <v>337</v>
      </c>
      <c r="B133" s="38">
        <v>5914359</v>
      </c>
      <c r="C133" s="345" t="s">
        <v>84</v>
      </c>
      <c r="D133" s="40" t="s">
        <v>85</v>
      </c>
      <c r="E133" s="363">
        <v>219421.04</v>
      </c>
      <c r="F133" s="102" t="s">
        <v>338</v>
      </c>
      <c r="G133" s="103">
        <f>G131*1.5*7.2</f>
        <v>55204.091999999997</v>
      </c>
      <c r="H133" s="103" t="s">
        <v>339</v>
      </c>
    </row>
    <row r="134" spans="1:8" customFormat="1" ht="12.75" x14ac:dyDescent="0.2">
      <c r="A134" s="65" t="s">
        <v>340</v>
      </c>
      <c r="B134" s="66"/>
      <c r="C134" s="65" t="s">
        <v>341</v>
      </c>
      <c r="D134" s="67"/>
      <c r="E134" s="369" t="s">
        <v>46</v>
      </c>
      <c r="F134" s="370"/>
      <c r="G134" s="370"/>
      <c r="H134" s="370"/>
    </row>
    <row r="135" spans="1:8" customFormat="1" ht="12.75" x14ac:dyDescent="0.2">
      <c r="A135" s="345" t="s">
        <v>342</v>
      </c>
      <c r="B135" s="348" t="s">
        <v>343</v>
      </c>
      <c r="C135" s="345" t="s">
        <v>344</v>
      </c>
      <c r="D135" s="40" t="s">
        <v>77</v>
      </c>
      <c r="E135" s="363">
        <v>22613.439999999999</v>
      </c>
      <c r="F135" s="103"/>
      <c r="G135" s="103"/>
      <c r="H135" s="103"/>
    </row>
    <row r="136" spans="1:8" customFormat="1" ht="12.75" x14ac:dyDescent="0.2">
      <c r="A136" s="47" t="s">
        <v>345</v>
      </c>
      <c r="B136" s="48"/>
      <c r="C136" s="47" t="s">
        <v>346</v>
      </c>
      <c r="D136" s="49"/>
      <c r="E136" s="364" t="s">
        <v>46</v>
      </c>
      <c r="F136" s="365"/>
      <c r="G136" s="365"/>
      <c r="H136" s="365"/>
    </row>
    <row r="137" spans="1:8" customFormat="1" ht="12.75" x14ac:dyDescent="0.2">
      <c r="A137" s="65" t="s">
        <v>347</v>
      </c>
      <c r="B137" s="66"/>
      <c r="C137" s="65" t="s">
        <v>348</v>
      </c>
      <c r="D137" s="67"/>
      <c r="E137" s="369" t="s">
        <v>46</v>
      </c>
      <c r="F137" s="370"/>
      <c r="G137" s="370"/>
      <c r="H137" s="370"/>
    </row>
    <row r="138" spans="1:8" customFormat="1" ht="25.5" x14ac:dyDescent="0.2">
      <c r="A138" s="345" t="s">
        <v>349</v>
      </c>
      <c r="B138" s="348" t="s">
        <v>350</v>
      </c>
      <c r="C138" s="345" t="s">
        <v>351</v>
      </c>
      <c r="D138" s="40" t="s">
        <v>77</v>
      </c>
      <c r="E138" s="363">
        <v>10649.3</v>
      </c>
      <c r="F138" s="103"/>
      <c r="G138" s="103"/>
      <c r="H138" s="103"/>
    </row>
    <row r="139" spans="1:8" customFormat="1" ht="25.5" x14ac:dyDescent="0.2">
      <c r="A139" s="345" t="s">
        <v>352</v>
      </c>
      <c r="B139" s="38">
        <v>5914389</v>
      </c>
      <c r="C139" s="345" t="s">
        <v>334</v>
      </c>
      <c r="D139" s="40" t="s">
        <v>85</v>
      </c>
      <c r="E139" s="363">
        <v>50317.94</v>
      </c>
      <c r="F139" s="103"/>
      <c r="G139" s="103"/>
      <c r="H139" s="103"/>
    </row>
    <row r="140" spans="1:8" customFormat="1" ht="25.5" x14ac:dyDescent="0.2">
      <c r="A140" s="345" t="s">
        <v>353</v>
      </c>
      <c r="B140" s="38">
        <v>5914359</v>
      </c>
      <c r="C140" s="345" t="s">
        <v>84</v>
      </c>
      <c r="D140" s="40" t="s">
        <v>85</v>
      </c>
      <c r="E140" s="363">
        <v>71882.78</v>
      </c>
      <c r="F140" s="103"/>
      <c r="G140" s="103"/>
      <c r="H140" s="103"/>
    </row>
    <row r="141" spans="1:8" customFormat="1" ht="12.75" x14ac:dyDescent="0.2">
      <c r="A141" s="65" t="s">
        <v>354</v>
      </c>
      <c r="B141" s="66"/>
      <c r="C141" s="65" t="s">
        <v>355</v>
      </c>
      <c r="D141" s="67"/>
      <c r="E141" s="369" t="s">
        <v>46</v>
      </c>
      <c r="F141" s="370"/>
      <c r="G141" s="370"/>
      <c r="H141" s="370"/>
    </row>
    <row r="142" spans="1:8" customFormat="1" ht="25.5" x14ac:dyDescent="0.2">
      <c r="A142" s="345" t="s">
        <v>356</v>
      </c>
      <c r="B142" s="348" t="s">
        <v>357</v>
      </c>
      <c r="C142" s="345" t="s">
        <v>358</v>
      </c>
      <c r="D142" s="40" t="s">
        <v>77</v>
      </c>
      <c r="E142" s="363">
        <v>7572.8329999999996</v>
      </c>
      <c r="F142" s="103"/>
      <c r="G142" s="103"/>
      <c r="H142" s="103"/>
    </row>
    <row r="143" spans="1:8" customFormat="1" ht="25.5" x14ac:dyDescent="0.2">
      <c r="A143" s="345" t="s">
        <v>359</v>
      </c>
      <c r="B143" s="38">
        <v>5914389</v>
      </c>
      <c r="C143" s="345" t="s">
        <v>334</v>
      </c>
      <c r="D143" s="40" t="s">
        <v>85</v>
      </c>
      <c r="E143" s="363">
        <v>193675.13</v>
      </c>
      <c r="F143" s="102"/>
      <c r="G143" s="103"/>
      <c r="H143" s="103"/>
    </row>
    <row r="144" spans="1:8" customFormat="1" ht="12.75" x14ac:dyDescent="0.2">
      <c r="A144" s="65" t="s">
        <v>360</v>
      </c>
      <c r="B144" s="66"/>
      <c r="C144" s="65" t="s">
        <v>361</v>
      </c>
      <c r="D144" s="67"/>
      <c r="E144" s="369" t="s">
        <v>46</v>
      </c>
      <c r="F144" s="370"/>
      <c r="G144" s="370"/>
      <c r="H144" s="370"/>
    </row>
    <row r="145" spans="1:8" customFormat="1" ht="25.5" x14ac:dyDescent="0.2">
      <c r="A145" s="345" t="s">
        <v>362</v>
      </c>
      <c r="B145" s="348" t="s">
        <v>363</v>
      </c>
      <c r="C145" s="345" t="s">
        <v>364</v>
      </c>
      <c r="D145" s="40" t="s">
        <v>77</v>
      </c>
      <c r="E145" s="363">
        <v>11832.55</v>
      </c>
      <c r="F145" s="103"/>
      <c r="G145" s="103"/>
      <c r="H145" s="103"/>
    </row>
    <row r="146" spans="1:8" customFormat="1" ht="12.75" x14ac:dyDescent="0.2">
      <c r="A146" s="47" t="s">
        <v>365</v>
      </c>
      <c r="B146" s="48"/>
      <c r="C146" s="47" t="s">
        <v>366</v>
      </c>
      <c r="D146" s="49"/>
      <c r="E146" s="364" t="s">
        <v>46</v>
      </c>
      <c r="F146" s="365"/>
      <c r="G146" s="365"/>
      <c r="H146" s="365"/>
    </row>
    <row r="147" spans="1:8" customFormat="1" ht="12.75" x14ac:dyDescent="0.2">
      <c r="A147" s="65" t="s">
        <v>367</v>
      </c>
      <c r="B147" s="66"/>
      <c r="C147" s="65" t="s">
        <v>368</v>
      </c>
      <c r="D147" s="67"/>
      <c r="E147" s="369" t="s">
        <v>46</v>
      </c>
      <c r="F147" s="370"/>
      <c r="G147" s="370"/>
      <c r="H147" s="370"/>
    </row>
    <row r="148" spans="1:8" customFormat="1" ht="25.5" x14ac:dyDescent="0.2">
      <c r="A148" s="345" t="s">
        <v>369</v>
      </c>
      <c r="B148" s="348" t="s">
        <v>370</v>
      </c>
      <c r="C148" s="44" t="s">
        <v>371</v>
      </c>
      <c r="D148" s="40" t="s">
        <v>43</v>
      </c>
      <c r="E148" s="363">
        <v>60762.400000000001</v>
      </c>
      <c r="F148" s="103"/>
      <c r="G148" s="103"/>
      <c r="H148" s="103"/>
    </row>
    <row r="149" spans="1:8" customFormat="1" ht="12.75" x14ac:dyDescent="0.2">
      <c r="A149" s="65" t="s">
        <v>372</v>
      </c>
      <c r="B149" s="66"/>
      <c r="C149" s="65" t="s">
        <v>373</v>
      </c>
      <c r="D149" s="67"/>
      <c r="E149" s="369" t="s">
        <v>46</v>
      </c>
      <c r="F149" s="370"/>
      <c r="G149" s="370"/>
      <c r="H149" s="370"/>
    </row>
    <row r="150" spans="1:8" customFormat="1" ht="12.75" x14ac:dyDescent="0.2">
      <c r="A150" s="345" t="s">
        <v>374</v>
      </c>
      <c r="B150" s="348" t="s">
        <v>375</v>
      </c>
      <c r="C150" s="345" t="s">
        <v>376</v>
      </c>
      <c r="D150" s="40" t="s">
        <v>43</v>
      </c>
      <c r="E150" s="363">
        <v>56458.52</v>
      </c>
      <c r="F150" s="103"/>
      <c r="G150" s="103"/>
      <c r="H150" s="103"/>
    </row>
    <row r="151" spans="1:8" customFormat="1" ht="12.75" x14ac:dyDescent="0.2">
      <c r="A151" s="65" t="s">
        <v>377</v>
      </c>
      <c r="B151" s="66"/>
      <c r="C151" s="65" t="s">
        <v>378</v>
      </c>
      <c r="D151" s="67"/>
      <c r="E151" s="369" t="s">
        <v>46</v>
      </c>
      <c r="F151" s="370"/>
      <c r="G151" s="370"/>
      <c r="H151" s="370"/>
    </row>
    <row r="152" spans="1:8" customFormat="1" ht="25.5" x14ac:dyDescent="0.2">
      <c r="A152" s="345" t="s">
        <v>379</v>
      </c>
      <c r="B152" s="348" t="s">
        <v>380</v>
      </c>
      <c r="C152" s="345" t="s">
        <v>381</v>
      </c>
      <c r="D152" s="40" t="s">
        <v>77</v>
      </c>
      <c r="E152" s="363">
        <v>2822.9259999999999</v>
      </c>
      <c r="F152" s="103"/>
      <c r="G152" s="103"/>
      <c r="H152" s="103"/>
    </row>
    <row r="153" spans="1:8" customFormat="1" ht="12.75" x14ac:dyDescent="0.2">
      <c r="A153" s="65" t="s">
        <v>382</v>
      </c>
      <c r="B153" s="66"/>
      <c r="C153" s="65" t="s">
        <v>383</v>
      </c>
      <c r="D153" s="67"/>
      <c r="E153" s="369" t="s">
        <v>46</v>
      </c>
      <c r="F153" s="370"/>
      <c r="G153" s="370"/>
      <c r="H153" s="370"/>
    </row>
    <row r="154" spans="1:8" customFormat="1" ht="25.5" x14ac:dyDescent="0.2">
      <c r="A154" s="345" t="s">
        <v>384</v>
      </c>
      <c r="B154" s="348" t="s">
        <v>385</v>
      </c>
      <c r="C154" s="345" t="s">
        <v>386</v>
      </c>
      <c r="D154" s="40" t="s">
        <v>77</v>
      </c>
      <c r="E154" s="363">
        <v>3528.66</v>
      </c>
      <c r="F154" s="103"/>
      <c r="G154" s="103"/>
      <c r="H154" s="103"/>
    </row>
    <row r="155" spans="1:8" customFormat="1" ht="25.5" x14ac:dyDescent="0.2">
      <c r="A155" s="345" t="s">
        <v>387</v>
      </c>
      <c r="B155" s="38">
        <v>914612</v>
      </c>
      <c r="C155" s="345" t="s">
        <v>388</v>
      </c>
      <c r="D155" s="40" t="s">
        <v>85</v>
      </c>
      <c r="E155" s="363">
        <v>116598.31</v>
      </c>
      <c r="F155" s="103"/>
      <c r="G155" s="103"/>
      <c r="H155" s="103"/>
    </row>
    <row r="156" spans="1:8" customFormat="1" ht="12.75" x14ac:dyDescent="0.2">
      <c r="A156" s="47" t="s">
        <v>389</v>
      </c>
      <c r="B156" s="48"/>
      <c r="C156" s="63"/>
      <c r="D156" s="49"/>
      <c r="E156" s="364" t="s">
        <v>46</v>
      </c>
      <c r="F156" s="365"/>
      <c r="G156" s="365"/>
      <c r="H156" s="365"/>
    </row>
    <row r="157" spans="1:8" customFormat="1" ht="25.5" x14ac:dyDescent="0.2">
      <c r="A157" s="345" t="s">
        <v>390</v>
      </c>
      <c r="B157" s="38" t="s">
        <v>391</v>
      </c>
      <c r="C157" s="345" t="s">
        <v>392</v>
      </c>
      <c r="D157" s="40" t="s">
        <v>43</v>
      </c>
      <c r="E157" s="363">
        <v>3567</v>
      </c>
      <c r="F157" s="103"/>
      <c r="G157" s="103"/>
      <c r="H157" s="103"/>
    </row>
    <row r="158" spans="1:8" customFormat="1" ht="12.75" x14ac:dyDescent="0.2">
      <c r="A158" s="345" t="s">
        <v>393</v>
      </c>
      <c r="B158" s="348" t="s">
        <v>394</v>
      </c>
      <c r="C158" s="345" t="s">
        <v>395</v>
      </c>
      <c r="D158" s="40" t="s">
        <v>57</v>
      </c>
      <c r="E158" s="363">
        <v>1311</v>
      </c>
      <c r="F158" s="103"/>
      <c r="G158" s="103"/>
      <c r="H158" s="103"/>
    </row>
    <row r="159" spans="1:8" customFormat="1" ht="12.75" x14ac:dyDescent="0.2">
      <c r="A159" s="54" t="s">
        <v>396</v>
      </c>
      <c r="B159" s="55"/>
      <c r="C159" s="54" t="s">
        <v>397</v>
      </c>
      <c r="D159" s="56"/>
      <c r="E159" s="366" t="s">
        <v>46</v>
      </c>
      <c r="F159" s="367"/>
      <c r="G159" s="367"/>
      <c r="H159" s="367"/>
    </row>
    <row r="160" spans="1:8" customFormat="1" ht="12.75" x14ac:dyDescent="0.2">
      <c r="A160" s="47" t="s">
        <v>398</v>
      </c>
      <c r="B160" s="48"/>
      <c r="C160" s="47" t="s">
        <v>399</v>
      </c>
      <c r="D160" s="49"/>
      <c r="E160" s="364" t="s">
        <v>46</v>
      </c>
      <c r="F160" s="365"/>
      <c r="G160" s="365"/>
      <c r="H160" s="365"/>
    </row>
    <row r="161" spans="1:8" customFormat="1" ht="25.5" x14ac:dyDescent="0.2">
      <c r="A161" s="345" t="s">
        <v>400</v>
      </c>
      <c r="B161" s="38">
        <v>5213446</v>
      </c>
      <c r="C161" s="345" t="s">
        <v>401</v>
      </c>
      <c r="D161" s="40" t="s">
        <v>216</v>
      </c>
      <c r="E161" s="363">
        <v>3</v>
      </c>
      <c r="F161" s="103"/>
      <c r="G161" s="103"/>
      <c r="H161" s="103"/>
    </row>
    <row r="162" spans="1:8" customFormat="1" ht="25.5" x14ac:dyDescent="0.2">
      <c r="A162" s="345" t="s">
        <v>402</v>
      </c>
      <c r="B162" s="38">
        <v>5213450</v>
      </c>
      <c r="C162" s="345" t="s">
        <v>403</v>
      </c>
      <c r="D162" s="40" t="s">
        <v>216</v>
      </c>
      <c r="E162" s="363">
        <v>5</v>
      </c>
      <c r="F162" s="103"/>
      <c r="G162" s="103"/>
      <c r="H162" s="103"/>
    </row>
    <row r="163" spans="1:8" customFormat="1" ht="25.5" x14ac:dyDescent="0.2">
      <c r="A163" s="345" t="s">
        <v>404</v>
      </c>
      <c r="B163" s="38">
        <v>5213442</v>
      </c>
      <c r="C163" s="345" t="s">
        <v>405</v>
      </c>
      <c r="D163" s="40" t="s">
        <v>216</v>
      </c>
      <c r="E163" s="363">
        <v>59</v>
      </c>
      <c r="F163" s="103"/>
      <c r="G163" s="103"/>
      <c r="H163" s="103"/>
    </row>
    <row r="164" spans="1:8" customFormat="1" ht="25.5" x14ac:dyDescent="0.2">
      <c r="A164" s="345" t="s">
        <v>406</v>
      </c>
      <c r="B164" s="38">
        <v>5213466</v>
      </c>
      <c r="C164" s="345" t="s">
        <v>407</v>
      </c>
      <c r="D164" s="40" t="s">
        <v>216</v>
      </c>
      <c r="E164" s="363">
        <v>40</v>
      </c>
      <c r="F164" s="103"/>
      <c r="G164" s="103"/>
      <c r="H164" s="103"/>
    </row>
    <row r="165" spans="1:8" customFormat="1" ht="25.5" x14ac:dyDescent="0.2">
      <c r="A165" s="345" t="s">
        <v>408</v>
      </c>
      <c r="B165" s="38">
        <v>5213498</v>
      </c>
      <c r="C165" s="345" t="s">
        <v>409</v>
      </c>
      <c r="D165" s="40" t="s">
        <v>216</v>
      </c>
      <c r="E165" s="363">
        <v>19</v>
      </c>
      <c r="F165" s="103"/>
      <c r="G165" s="103"/>
      <c r="H165" s="103"/>
    </row>
    <row r="166" spans="1:8" customFormat="1" ht="12.75" x14ac:dyDescent="0.2">
      <c r="A166" s="345" t="s">
        <v>410</v>
      </c>
      <c r="B166" s="38">
        <v>5213571</v>
      </c>
      <c r="C166" s="345" t="s">
        <v>411</v>
      </c>
      <c r="D166" s="40" t="s">
        <v>43</v>
      </c>
      <c r="E166" s="363">
        <v>130.30000000000001</v>
      </c>
      <c r="F166" s="103"/>
      <c r="G166" s="103"/>
      <c r="H166" s="103"/>
    </row>
    <row r="167" spans="1:8" customFormat="1" ht="25.5" x14ac:dyDescent="0.2">
      <c r="A167" s="345" t="s">
        <v>412</v>
      </c>
      <c r="B167" s="38">
        <v>5216111</v>
      </c>
      <c r="C167" s="345" t="s">
        <v>413</v>
      </c>
      <c r="D167" s="40" t="s">
        <v>216</v>
      </c>
      <c r="E167" s="363">
        <v>178</v>
      </c>
      <c r="F167" s="103"/>
      <c r="G167" s="103"/>
      <c r="H167" s="103"/>
    </row>
    <row r="168" spans="1:8" customFormat="1" ht="12.75" x14ac:dyDescent="0.2">
      <c r="A168" s="47" t="s">
        <v>414</v>
      </c>
      <c r="B168" s="48"/>
      <c r="C168" s="47" t="s">
        <v>415</v>
      </c>
      <c r="D168" s="49"/>
      <c r="E168" s="364" t="s">
        <v>46</v>
      </c>
      <c r="F168" s="365"/>
      <c r="G168" s="365"/>
      <c r="H168" s="365"/>
    </row>
    <row r="169" spans="1:8" customFormat="1" ht="25.5" x14ac:dyDescent="0.2">
      <c r="A169" s="345" t="s">
        <v>416</v>
      </c>
      <c r="B169" s="38">
        <v>5213413</v>
      </c>
      <c r="C169" s="345" t="s">
        <v>417</v>
      </c>
      <c r="D169" s="40" t="s">
        <v>43</v>
      </c>
      <c r="E169" s="363">
        <v>2455</v>
      </c>
      <c r="F169" s="103"/>
      <c r="G169" s="103"/>
      <c r="H169" s="103"/>
    </row>
    <row r="170" spans="1:8" customFormat="1" ht="25.5" x14ac:dyDescent="0.2">
      <c r="A170" s="345" t="s">
        <v>418</v>
      </c>
      <c r="B170" s="38">
        <v>5213405</v>
      </c>
      <c r="C170" s="345" t="s">
        <v>419</v>
      </c>
      <c r="D170" s="40" t="s">
        <v>43</v>
      </c>
      <c r="E170" s="363">
        <v>91.68</v>
      </c>
      <c r="F170" s="103"/>
      <c r="G170" s="103"/>
      <c r="H170" s="103"/>
    </row>
    <row r="171" spans="1:8" customFormat="1" ht="25.5" x14ac:dyDescent="0.2">
      <c r="A171" s="345" t="s">
        <v>420</v>
      </c>
      <c r="B171" s="348" t="s">
        <v>421</v>
      </c>
      <c r="C171" s="345" t="s">
        <v>422</v>
      </c>
      <c r="D171" s="40" t="s">
        <v>43</v>
      </c>
      <c r="E171" s="363">
        <v>38.4</v>
      </c>
      <c r="F171" s="103"/>
      <c r="G171" s="103"/>
      <c r="H171" s="103"/>
    </row>
    <row r="172" spans="1:8" customFormat="1" ht="25.5" x14ac:dyDescent="0.2">
      <c r="A172" s="345" t="s">
        <v>423</v>
      </c>
      <c r="B172" s="38">
        <v>5219623</v>
      </c>
      <c r="C172" s="345" t="s">
        <v>424</v>
      </c>
      <c r="D172" s="40" t="s">
        <v>216</v>
      </c>
      <c r="E172" s="363">
        <v>1059</v>
      </c>
      <c r="F172" s="103"/>
      <c r="G172" s="103"/>
      <c r="H172" s="103"/>
    </row>
    <row r="173" spans="1:8" customFormat="1" ht="25.5" x14ac:dyDescent="0.2">
      <c r="A173" s="345" t="s">
        <v>425</v>
      </c>
      <c r="B173" s="38">
        <v>5219631</v>
      </c>
      <c r="C173" s="345" t="s">
        <v>426</v>
      </c>
      <c r="D173" s="40" t="s">
        <v>216</v>
      </c>
      <c r="E173" s="363">
        <v>1229</v>
      </c>
      <c r="F173" s="103"/>
      <c r="G173" s="103"/>
      <c r="H173" s="103"/>
    </row>
    <row r="174" spans="1:8" customFormat="1" ht="12.75" x14ac:dyDescent="0.2">
      <c r="A174" s="54" t="s">
        <v>427</v>
      </c>
      <c r="B174" s="55"/>
      <c r="C174" s="54" t="s">
        <v>428</v>
      </c>
      <c r="D174" s="56"/>
      <c r="E174" s="366" t="s">
        <v>46</v>
      </c>
      <c r="F174" s="367"/>
      <c r="G174" s="367"/>
      <c r="H174" s="367"/>
    </row>
    <row r="175" spans="1:8" customFormat="1" ht="12.75" x14ac:dyDescent="0.2">
      <c r="A175" s="47" t="s">
        <v>429</v>
      </c>
      <c r="B175" s="48"/>
      <c r="C175" s="47" t="s">
        <v>430</v>
      </c>
      <c r="D175" s="49"/>
      <c r="E175" s="364" t="s">
        <v>46</v>
      </c>
      <c r="F175" s="365"/>
      <c r="G175" s="365"/>
      <c r="H175" s="365"/>
    </row>
    <row r="176" spans="1:8" customFormat="1" ht="12.75" x14ac:dyDescent="0.2">
      <c r="A176" s="345" t="s">
        <v>431</v>
      </c>
      <c r="B176" s="348" t="s">
        <v>432</v>
      </c>
      <c r="C176" s="345" t="s">
        <v>433</v>
      </c>
      <c r="D176" s="40" t="s">
        <v>43</v>
      </c>
      <c r="E176" s="363">
        <v>3710.25</v>
      </c>
      <c r="F176" s="103"/>
      <c r="G176" s="103"/>
      <c r="H176" s="103"/>
    </row>
    <row r="177" spans="1:10" customFormat="1" ht="12.75" x14ac:dyDescent="0.2">
      <c r="A177" s="348" t="s">
        <v>434</v>
      </c>
      <c r="B177" s="345" t="s">
        <v>435</v>
      </c>
      <c r="C177" s="345" t="s">
        <v>436</v>
      </c>
      <c r="D177" s="40" t="s">
        <v>43</v>
      </c>
      <c r="E177" s="363">
        <v>40656.660000000003</v>
      </c>
      <c r="F177" s="103"/>
      <c r="G177" s="103"/>
      <c r="H177" s="103"/>
    </row>
    <row r="178" spans="1:10" customFormat="1" ht="12.75" x14ac:dyDescent="0.2">
      <c r="A178" s="47" t="s">
        <v>437</v>
      </c>
      <c r="B178" s="63"/>
      <c r="C178" s="47" t="s">
        <v>438</v>
      </c>
      <c r="D178" s="49"/>
      <c r="E178" s="364" t="s">
        <v>46</v>
      </c>
      <c r="F178" s="365"/>
      <c r="G178" s="365"/>
      <c r="H178" s="365"/>
    </row>
    <row r="179" spans="1:10" customFormat="1" ht="12.75" x14ac:dyDescent="0.2">
      <c r="A179" s="345" t="s">
        <v>439</v>
      </c>
      <c r="B179" s="348" t="s">
        <v>440</v>
      </c>
      <c r="C179" s="345" t="s">
        <v>441</v>
      </c>
      <c r="D179" s="40" t="s">
        <v>53</v>
      </c>
      <c r="E179" s="363">
        <v>50</v>
      </c>
      <c r="F179" s="103"/>
      <c r="G179" s="103"/>
      <c r="H179" s="103"/>
    </row>
    <row r="180" spans="1:10" customFormat="1" ht="25.5" x14ac:dyDescent="0.2">
      <c r="A180" s="345" t="s">
        <v>442</v>
      </c>
      <c r="B180" s="348" t="s">
        <v>443</v>
      </c>
      <c r="C180" s="345" t="s">
        <v>444</v>
      </c>
      <c r="D180" s="40" t="s">
        <v>57</v>
      </c>
      <c r="E180" s="363">
        <v>4883</v>
      </c>
      <c r="F180" s="103"/>
      <c r="G180" s="103"/>
      <c r="H180" s="103"/>
    </row>
    <row r="181" spans="1:10" customFormat="1" ht="12.75" x14ac:dyDescent="0.2">
      <c r="A181" s="345" t="s">
        <v>445</v>
      </c>
      <c r="B181" s="348" t="s">
        <v>446</v>
      </c>
      <c r="C181" s="345" t="s">
        <v>447</v>
      </c>
      <c r="D181" s="40" t="s">
        <v>448</v>
      </c>
      <c r="E181" s="363">
        <v>60057</v>
      </c>
      <c r="F181" s="103"/>
      <c r="G181" s="103"/>
      <c r="H181" s="103"/>
    </row>
    <row r="182" spans="1:10" customFormat="1" ht="63.75" x14ac:dyDescent="0.2">
      <c r="A182" s="345" t="s">
        <v>449</v>
      </c>
      <c r="B182" s="44"/>
      <c r="C182" s="345" t="s">
        <v>450</v>
      </c>
      <c r="D182" s="40" t="s">
        <v>57</v>
      </c>
      <c r="E182" s="363">
        <v>17088</v>
      </c>
      <c r="F182" s="104" t="s">
        <v>451</v>
      </c>
      <c r="G182" s="103">
        <v>2940</v>
      </c>
      <c r="H182" s="103"/>
    </row>
    <row r="183" spans="1:10" customFormat="1" ht="12.75" x14ac:dyDescent="0.2">
      <c r="A183" s="47" t="s">
        <v>452</v>
      </c>
      <c r="B183" s="63"/>
      <c r="C183" s="47" t="s">
        <v>453</v>
      </c>
      <c r="D183" s="49"/>
      <c r="E183" s="364" t="s">
        <v>46</v>
      </c>
      <c r="F183" s="365"/>
      <c r="G183" s="365"/>
      <c r="H183" s="365"/>
    </row>
    <row r="184" spans="1:10" customFormat="1" ht="38.25" x14ac:dyDescent="0.2">
      <c r="A184" s="345" t="s">
        <v>454</v>
      </c>
      <c r="B184" s="348" t="s">
        <v>455</v>
      </c>
      <c r="C184" s="44" t="s">
        <v>456</v>
      </c>
      <c r="D184" s="40" t="s">
        <v>43</v>
      </c>
      <c r="E184" s="363">
        <v>210</v>
      </c>
      <c r="F184" s="103"/>
      <c r="G184" s="103"/>
      <c r="H184" s="103"/>
    </row>
    <row r="185" spans="1:10" customFormat="1" ht="25.5" x14ac:dyDescent="0.2">
      <c r="A185" s="345" t="s">
        <v>457</v>
      </c>
      <c r="B185" s="348" t="s">
        <v>458</v>
      </c>
      <c r="C185" s="345" t="s">
        <v>459</v>
      </c>
      <c r="D185" s="40" t="s">
        <v>77</v>
      </c>
      <c r="E185" s="363">
        <v>21</v>
      </c>
      <c r="F185" s="103"/>
      <c r="G185" s="103"/>
      <c r="H185" s="103"/>
    </row>
    <row r="186" spans="1:10" customFormat="1" ht="25.5" x14ac:dyDescent="0.2">
      <c r="A186" s="345" t="s">
        <v>460</v>
      </c>
      <c r="B186" s="348" t="s">
        <v>461</v>
      </c>
      <c r="C186" s="345" t="s">
        <v>462</v>
      </c>
      <c r="D186" s="40" t="s">
        <v>57</v>
      </c>
      <c r="E186" s="363">
        <v>21</v>
      </c>
      <c r="F186" s="103"/>
      <c r="G186" s="103"/>
      <c r="H186" s="103"/>
    </row>
    <row r="187" spans="1:10" customFormat="1" ht="25.5" x14ac:dyDescent="0.2">
      <c r="A187" s="345" t="s">
        <v>463</v>
      </c>
      <c r="B187" s="348" t="s">
        <v>464</v>
      </c>
      <c r="C187" s="345" t="s">
        <v>465</v>
      </c>
      <c r="D187" s="40" t="s">
        <v>57</v>
      </c>
      <c r="E187" s="363">
        <v>7</v>
      </c>
      <c r="F187" s="103"/>
      <c r="G187" s="103"/>
      <c r="H187" s="103"/>
    </row>
    <row r="188" spans="1:10" customFormat="1" ht="12.75" x14ac:dyDescent="0.2">
      <c r="A188" s="47" t="s">
        <v>466</v>
      </c>
      <c r="B188" s="63"/>
      <c r="C188" s="47" t="s">
        <v>467</v>
      </c>
      <c r="D188" s="49"/>
      <c r="E188" s="364" t="s">
        <v>46</v>
      </c>
      <c r="F188" s="365"/>
      <c r="G188" s="365"/>
      <c r="H188" s="365"/>
    </row>
    <row r="189" spans="1:10" customFormat="1" ht="12.75" x14ac:dyDescent="0.2">
      <c r="A189" s="345" t="s">
        <v>468</v>
      </c>
      <c r="B189" s="348" t="s">
        <v>469</v>
      </c>
      <c r="C189" s="345" t="s">
        <v>470</v>
      </c>
      <c r="D189" s="40" t="s">
        <v>77</v>
      </c>
      <c r="E189" s="363">
        <v>20</v>
      </c>
      <c r="F189" s="103"/>
      <c r="G189" s="103"/>
      <c r="H189" s="103"/>
      <c r="J189">
        <v>240284.79</v>
      </c>
    </row>
    <row r="190" spans="1:10" customFormat="1" ht="25.5" x14ac:dyDescent="0.2">
      <c r="A190" s="345" t="s">
        <v>471</v>
      </c>
      <c r="B190" s="348" t="s">
        <v>472</v>
      </c>
      <c r="C190" s="345" t="s">
        <v>473</v>
      </c>
      <c r="D190" s="40" t="s">
        <v>43</v>
      </c>
      <c r="E190" s="363">
        <v>80</v>
      </c>
      <c r="F190" s="103"/>
      <c r="G190" s="103"/>
      <c r="H190" s="103"/>
    </row>
    <row r="191" spans="1:10" customFormat="1" ht="12.75" x14ac:dyDescent="0.2">
      <c r="A191" s="54" t="s">
        <v>474</v>
      </c>
      <c r="B191" s="61"/>
      <c r="C191" s="54" t="s">
        <v>475</v>
      </c>
      <c r="D191" s="56"/>
      <c r="E191" s="366" t="s">
        <v>46</v>
      </c>
      <c r="F191" s="367"/>
      <c r="G191" s="367"/>
      <c r="H191" s="367"/>
      <c r="I191" s="79" t="e">
        <f>(#REF!/I192)</f>
        <v>#REF!</v>
      </c>
      <c r="J191" s="78" t="e">
        <f>#REF!*I191</f>
        <v>#REF!</v>
      </c>
    </row>
    <row r="192" spans="1:10" customFormat="1" ht="12.75" x14ac:dyDescent="0.2">
      <c r="A192" s="47" t="s">
        <v>476</v>
      </c>
      <c r="B192" s="63"/>
      <c r="C192" s="47" t="s">
        <v>477</v>
      </c>
      <c r="D192" s="49"/>
      <c r="E192" s="364" t="s">
        <v>46</v>
      </c>
      <c r="F192" s="365"/>
      <c r="G192" s="365"/>
      <c r="H192" s="365"/>
      <c r="I192" s="99">
        <v>9304636.8000000007</v>
      </c>
    </row>
    <row r="193" spans="1:10" customFormat="1" ht="12.75" x14ac:dyDescent="0.2">
      <c r="A193" s="345" t="s">
        <v>478</v>
      </c>
      <c r="B193" s="44"/>
      <c r="C193" s="345" t="s">
        <v>479</v>
      </c>
      <c r="D193" s="40" t="s">
        <v>53</v>
      </c>
      <c r="E193" s="363">
        <v>1</v>
      </c>
      <c r="F193" s="103" t="s">
        <v>480</v>
      </c>
      <c r="G193" s="103">
        <v>7.3099999999999998E-2</v>
      </c>
      <c r="H193" s="103"/>
      <c r="J193" s="80" t="e">
        <f>J191/J189</f>
        <v>#REF!</v>
      </c>
    </row>
    <row r="194" spans="1:10" customFormat="1" ht="12.75" x14ac:dyDescent="0.2">
      <c r="A194" s="345" t="s">
        <v>481</v>
      </c>
      <c r="B194" s="44"/>
      <c r="C194" s="345" t="s">
        <v>482</v>
      </c>
      <c r="D194" s="40" t="s">
        <v>53</v>
      </c>
      <c r="E194" s="363">
        <v>1</v>
      </c>
      <c r="F194" s="103" t="s">
        <v>480</v>
      </c>
      <c r="G194" s="103">
        <v>7.3099999999999998E-2</v>
      </c>
      <c r="H194" s="103"/>
    </row>
    <row r="195" spans="1:10" customFormat="1" ht="12.75" x14ac:dyDescent="0.2">
      <c r="A195" s="345" t="s">
        <v>483</v>
      </c>
      <c r="B195" s="44"/>
      <c r="C195" s="345" t="s">
        <v>484</v>
      </c>
      <c r="D195" s="40" t="s">
        <v>53</v>
      </c>
      <c r="E195" s="363">
        <v>1</v>
      </c>
      <c r="F195" s="103" t="s">
        <v>480</v>
      </c>
      <c r="G195" s="103">
        <v>7.3099999999999998E-2</v>
      </c>
      <c r="H195" s="103"/>
    </row>
    <row r="196" spans="1:10" customFormat="1" ht="12.75" x14ac:dyDescent="0.2">
      <c r="A196" s="47" t="s">
        <v>485</v>
      </c>
      <c r="B196" s="63"/>
      <c r="C196" s="47" t="s">
        <v>486</v>
      </c>
      <c r="D196" s="49"/>
      <c r="E196" s="364" t="s">
        <v>46</v>
      </c>
      <c r="F196" s="365"/>
      <c r="G196" s="365"/>
      <c r="H196" s="365"/>
    </row>
    <row r="197" spans="1:10" customFormat="1" ht="12.75" x14ac:dyDescent="0.2">
      <c r="A197" s="42" t="s">
        <v>487</v>
      </c>
      <c r="B197" s="42"/>
      <c r="C197" s="42" t="s">
        <v>488</v>
      </c>
      <c r="D197" s="40" t="s">
        <v>216</v>
      </c>
      <c r="E197" s="363">
        <v>1</v>
      </c>
      <c r="F197" s="103"/>
      <c r="G197" s="103"/>
      <c r="H197" s="103"/>
    </row>
    <row r="198" spans="1:10" customFormat="1" ht="12.75" x14ac:dyDescent="0.2">
      <c r="A198" s="98" t="s">
        <v>489</v>
      </c>
      <c r="B198" s="61"/>
      <c r="C198" s="54" t="s">
        <v>490</v>
      </c>
      <c r="D198" s="56"/>
      <c r="E198" s="366"/>
      <c r="F198" s="367"/>
      <c r="G198" s="367"/>
      <c r="H198" s="367"/>
    </row>
    <row r="199" spans="1:10" customFormat="1" ht="12.75" x14ac:dyDescent="0.2">
      <c r="A199" s="47" t="s">
        <v>491</v>
      </c>
      <c r="B199" s="63"/>
      <c r="C199" s="47" t="s">
        <v>492</v>
      </c>
      <c r="D199" s="49"/>
      <c r="E199" s="364"/>
      <c r="F199" s="365"/>
      <c r="G199" s="365"/>
      <c r="H199" s="365"/>
    </row>
    <row r="200" spans="1:10" customFormat="1" ht="25.5" x14ac:dyDescent="0.2">
      <c r="A200" s="345" t="s">
        <v>493</v>
      </c>
      <c r="B200" s="42"/>
      <c r="C200" s="42" t="s">
        <v>494</v>
      </c>
      <c r="D200" s="40" t="s">
        <v>495</v>
      </c>
      <c r="E200" s="363">
        <v>72.91</v>
      </c>
      <c r="F200" s="103"/>
      <c r="G200" s="103"/>
      <c r="H200" s="371"/>
    </row>
    <row r="201" spans="1:10" customFormat="1" ht="25.5" x14ac:dyDescent="0.2">
      <c r="A201" s="345" t="s">
        <v>496</v>
      </c>
      <c r="B201" s="42"/>
      <c r="C201" s="42" t="s">
        <v>497</v>
      </c>
      <c r="D201" s="40" t="s">
        <v>295</v>
      </c>
      <c r="E201" s="363">
        <v>25406.33</v>
      </c>
      <c r="F201" s="103"/>
      <c r="G201" s="103"/>
      <c r="H201" s="371"/>
    </row>
    <row r="202" spans="1:10" customFormat="1" ht="25.5" x14ac:dyDescent="0.2">
      <c r="A202" s="345" t="s">
        <v>498</v>
      </c>
      <c r="B202" s="42"/>
      <c r="C202" s="42" t="s">
        <v>499</v>
      </c>
      <c r="D202" s="40" t="s">
        <v>495</v>
      </c>
      <c r="E202" s="363">
        <v>456.02</v>
      </c>
      <c r="F202" s="103"/>
      <c r="G202" s="103"/>
      <c r="H202" s="371"/>
    </row>
    <row r="203" spans="1:10" customFormat="1" ht="12.75" x14ac:dyDescent="0.2">
      <c r="A203" s="47" t="s">
        <v>500</v>
      </c>
      <c r="B203" s="63"/>
      <c r="C203" s="47" t="s">
        <v>501</v>
      </c>
      <c r="D203" s="49"/>
      <c r="E203" s="364"/>
      <c r="F203" s="365"/>
      <c r="G203" s="365"/>
      <c r="H203" s="365"/>
    </row>
    <row r="204" spans="1:10" customFormat="1" ht="12.75" x14ac:dyDescent="0.2">
      <c r="A204" s="42" t="s">
        <v>502</v>
      </c>
      <c r="B204" s="42"/>
      <c r="C204" s="42" t="s">
        <v>503</v>
      </c>
      <c r="D204" s="40" t="s">
        <v>495</v>
      </c>
      <c r="E204" s="363">
        <v>72.91</v>
      </c>
      <c r="F204" s="103"/>
      <c r="G204" s="103"/>
      <c r="H204" s="371"/>
    </row>
    <row r="205" spans="1:10" customFormat="1" ht="12.75" x14ac:dyDescent="0.2">
      <c r="A205" s="42" t="s">
        <v>504</v>
      </c>
      <c r="B205" s="42"/>
      <c r="C205" s="42" t="s">
        <v>505</v>
      </c>
      <c r="D205" s="40" t="s">
        <v>495</v>
      </c>
      <c r="E205" s="363">
        <v>25.41</v>
      </c>
      <c r="F205" s="103"/>
      <c r="G205" s="103"/>
      <c r="H205" s="371"/>
    </row>
    <row r="206" spans="1:10" customFormat="1" ht="12.75" x14ac:dyDescent="0.2">
      <c r="A206" s="42" t="s">
        <v>506</v>
      </c>
      <c r="B206" s="42"/>
      <c r="C206" s="42" t="s">
        <v>507</v>
      </c>
      <c r="D206" s="40" t="s">
        <v>495</v>
      </c>
      <c r="E206" s="363">
        <v>456.02</v>
      </c>
      <c r="F206" s="103"/>
      <c r="G206" s="103"/>
      <c r="H206" s="371"/>
    </row>
    <row r="207" spans="1:10" s="6" customFormat="1" ht="12.75" x14ac:dyDescent="0.2">
      <c r="A207" s="384"/>
      <c r="B207" s="385"/>
      <c r="C207" s="386" t="s">
        <v>22</v>
      </c>
      <c r="D207" s="387"/>
      <c r="E207" s="387"/>
      <c r="F207" s="387"/>
      <c r="G207" s="387"/>
      <c r="H207" s="387"/>
    </row>
    <row r="208" spans="1:10" ht="18" customHeight="1" x14ac:dyDescent="0.2">
      <c r="A208" s="373"/>
      <c r="B208" s="374"/>
      <c r="C208" s="374"/>
      <c r="D208" s="374"/>
      <c r="E208" s="374"/>
      <c r="F208" s="374"/>
      <c r="G208" s="374"/>
      <c r="H208" s="374"/>
    </row>
  </sheetData>
  <autoFilter ref="A11:H208" xr:uid="{00000000-0001-0000-0000-000000000000}"/>
  <mergeCells count="13">
    <mergeCell ref="A2:C3"/>
    <mergeCell ref="A5:H5"/>
    <mergeCell ref="A7:H7"/>
    <mergeCell ref="A10:A11"/>
    <mergeCell ref="B10:B11"/>
    <mergeCell ref="C10:C11"/>
    <mergeCell ref="D10:D11"/>
    <mergeCell ref="E10:H10"/>
    <mergeCell ref="I10:J10"/>
    <mergeCell ref="B60:C60"/>
    <mergeCell ref="A207:B207"/>
    <mergeCell ref="C207:H207"/>
    <mergeCell ref="A208:H208"/>
  </mergeCells>
  <printOptions horizontalCentered="1"/>
  <pageMargins left="0.39370078740157483" right="0.39370078740157483" top="0.59055118110236227" bottom="0.78740157480314965" header="0.31496062992125984" footer="0.31496062992125984"/>
  <pageSetup paperSize="9" scale="46" fitToHeight="4" orientation="portrait" r:id="rId1"/>
  <rowBreaks count="4" manualBreakCount="4">
    <brk id="48" max="7" man="1"/>
    <brk id="60" max="7" man="1"/>
    <brk id="85" max="7" man="1"/>
    <brk id="112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CF47-1636-4436-A3AD-BB59BD05A03F}">
  <sheetPr>
    <pageSetUpPr fitToPage="1"/>
  </sheetPr>
  <dimension ref="A1:F155"/>
  <sheetViews>
    <sheetView view="pageBreakPreview" zoomScaleNormal="100" zoomScaleSheetLayoutView="100" workbookViewId="0">
      <selection activeCell="H42" sqref="H42"/>
    </sheetView>
  </sheetViews>
  <sheetFormatPr defaultColWidth="9.33203125" defaultRowHeight="12.75" x14ac:dyDescent="0.2"/>
  <cols>
    <col min="1" max="1" width="33.5" style="203" customWidth="1"/>
    <col min="2" max="2" width="36.6640625" style="203" customWidth="1"/>
    <col min="3" max="4" width="33.5" style="203" customWidth="1"/>
    <col min="5" max="16384" width="9.33203125" style="203"/>
  </cols>
  <sheetData>
    <row r="1" spans="1:4" ht="12.75" customHeight="1" x14ac:dyDescent="0.2">
      <c r="A1" s="16"/>
      <c r="B1" s="17"/>
      <c r="C1" s="17"/>
      <c r="D1" s="18"/>
    </row>
    <row r="2" spans="1:4" ht="12.75" customHeight="1" x14ac:dyDescent="0.2">
      <c r="A2" s="376" t="s">
        <v>0</v>
      </c>
      <c r="B2" s="377"/>
      <c r="C2" s="377"/>
      <c r="D2" s="403"/>
    </row>
    <row r="3" spans="1:4" ht="12.75" customHeight="1" x14ac:dyDescent="0.2">
      <c r="A3" s="376"/>
      <c r="B3" s="377"/>
      <c r="C3" s="377"/>
      <c r="D3" s="403"/>
    </row>
    <row r="4" spans="1:4" ht="12.75" customHeight="1" x14ac:dyDescent="0.2">
      <c r="A4" s="22"/>
      <c r="B4" s="343"/>
      <c r="C4" s="23"/>
      <c r="D4" s="346"/>
    </row>
    <row r="5" spans="1:4" x14ac:dyDescent="0.2">
      <c r="A5" s="404" t="s">
        <v>1</v>
      </c>
      <c r="B5" s="405"/>
      <c r="C5" s="405"/>
      <c r="D5" s="204"/>
    </row>
    <row r="6" spans="1:4" x14ac:dyDescent="0.2">
      <c r="A6" s="406"/>
      <c r="B6" s="407"/>
      <c r="C6" s="407"/>
      <c r="D6" s="205"/>
    </row>
    <row r="7" spans="1:4" ht="15.75" x14ac:dyDescent="0.2">
      <c r="A7" s="388" t="s">
        <v>508</v>
      </c>
      <c r="B7" s="389"/>
      <c r="C7" s="389"/>
      <c r="D7" s="408"/>
    </row>
    <row r="8" spans="1:4" x14ac:dyDescent="0.2">
      <c r="A8" s="206" t="s">
        <v>8</v>
      </c>
      <c r="B8" s="207" t="s">
        <v>9</v>
      </c>
      <c r="C8" s="208"/>
      <c r="D8" s="209" t="s">
        <v>509</v>
      </c>
    </row>
    <row r="9" spans="1:4" x14ac:dyDescent="0.2">
      <c r="A9" s="28" t="s">
        <v>5</v>
      </c>
      <c r="B9" s="29" t="s">
        <v>25</v>
      </c>
      <c r="C9" s="210"/>
      <c r="D9" s="211" t="str">
        <f>'PLANILHA - BM 15 CT'!F9</f>
        <v>08/05/25 à 31/05/25</v>
      </c>
    </row>
    <row r="10" spans="1:4" x14ac:dyDescent="0.2">
      <c r="A10" s="409" t="s">
        <v>510</v>
      </c>
      <c r="B10" s="409"/>
      <c r="C10" s="409"/>
      <c r="D10" s="409"/>
    </row>
    <row r="11" spans="1:4" x14ac:dyDescent="0.2">
      <c r="A11" s="409"/>
      <c r="B11" s="409"/>
      <c r="C11" s="409"/>
      <c r="D11" s="409"/>
    </row>
    <row r="12" spans="1:4" x14ac:dyDescent="0.2">
      <c r="A12" s="409"/>
      <c r="B12" s="409"/>
      <c r="C12" s="409"/>
      <c r="D12" s="409"/>
    </row>
    <row r="13" spans="1:4" ht="21" x14ac:dyDescent="0.2">
      <c r="A13" s="410" t="s">
        <v>511</v>
      </c>
      <c r="B13" s="411"/>
      <c r="C13" s="411"/>
      <c r="D13" s="412"/>
    </row>
    <row r="14" spans="1:4" ht="15.75" x14ac:dyDescent="0.2">
      <c r="A14" s="347" t="s">
        <v>512</v>
      </c>
      <c r="B14" s="347" t="s">
        <v>513</v>
      </c>
      <c r="C14" s="347" t="s">
        <v>514</v>
      </c>
      <c r="D14" s="347"/>
    </row>
    <row r="15" spans="1:4" ht="15.75" x14ac:dyDescent="0.2">
      <c r="A15" s="347" t="s">
        <v>515</v>
      </c>
      <c r="B15" s="347">
        <f>2040*9*0.18</f>
        <v>3304.7999999999997</v>
      </c>
      <c r="C15" s="347" t="s">
        <v>77</v>
      </c>
      <c r="D15" s="347" t="s">
        <v>516</v>
      </c>
    </row>
    <row r="16" spans="1:4" ht="15.75" x14ac:dyDescent="0.2">
      <c r="A16" s="347" t="s">
        <v>517</v>
      </c>
      <c r="B16" s="347">
        <f>2040*9*0.11</f>
        <v>2019.6</v>
      </c>
      <c r="C16" s="347" t="s">
        <v>77</v>
      </c>
      <c r="D16" s="347" t="s">
        <v>518</v>
      </c>
    </row>
    <row r="17" spans="1:6" ht="15.75" x14ac:dyDescent="0.2">
      <c r="A17" s="347" t="s">
        <v>519</v>
      </c>
      <c r="B17" s="347">
        <f>B16</f>
        <v>2019.6</v>
      </c>
      <c r="C17" s="347" t="s">
        <v>77</v>
      </c>
      <c r="D17" s="347" t="s">
        <v>520</v>
      </c>
    </row>
    <row r="18" spans="1:6" ht="15.75" x14ac:dyDescent="0.2">
      <c r="A18" s="347" t="s">
        <v>521</v>
      </c>
      <c r="B18" s="347">
        <f>B17*1.3</f>
        <v>2625.48</v>
      </c>
      <c r="C18" s="347" t="s">
        <v>77</v>
      </c>
      <c r="D18" s="347"/>
    </row>
    <row r="19" spans="1:6" ht="15.75" x14ac:dyDescent="0.2">
      <c r="A19" s="392"/>
      <c r="B19" s="392"/>
      <c r="C19" s="392"/>
      <c r="D19" s="392"/>
    </row>
    <row r="20" spans="1:6" ht="15" customHeight="1" x14ac:dyDescent="0.2">
      <c r="A20" s="347" t="s">
        <v>522</v>
      </c>
      <c r="B20" s="347"/>
      <c r="C20" s="347"/>
      <c r="D20" s="347"/>
    </row>
    <row r="21" spans="1:6" ht="15.75" x14ac:dyDescent="0.2">
      <c r="A21" s="393" t="s">
        <v>523</v>
      </c>
      <c r="B21" s="394"/>
      <c r="C21" s="394"/>
      <c r="D21" s="394"/>
    </row>
    <row r="22" spans="1:6" ht="33" customHeight="1" x14ac:dyDescent="0.2">
      <c r="A22" s="347" t="s">
        <v>524</v>
      </c>
      <c r="B22" s="347" t="s">
        <v>525</v>
      </c>
      <c r="C22" s="214">
        <f>2625.48*1.5*5.55</f>
        <v>21857.120999999999</v>
      </c>
      <c r="D22" s="347" t="s">
        <v>526</v>
      </c>
      <c r="E22" s="215"/>
      <c r="F22" s="216"/>
    </row>
    <row r="23" spans="1:6" ht="15.75" customHeight="1" x14ac:dyDescent="0.2">
      <c r="A23" s="347" t="s">
        <v>527</v>
      </c>
      <c r="B23" s="347" t="s">
        <v>528</v>
      </c>
      <c r="C23" s="347">
        <f>2625.48*1.5*3.15</f>
        <v>12405.393</v>
      </c>
      <c r="D23" s="347" t="s">
        <v>526</v>
      </c>
      <c r="E23" s="216"/>
      <c r="F23" s="216"/>
    </row>
    <row r="24" spans="1:6" ht="15.75" customHeight="1" x14ac:dyDescent="0.2">
      <c r="A24" s="212"/>
      <c r="B24" s="212"/>
      <c r="C24" s="212"/>
      <c r="D24" s="216"/>
    </row>
    <row r="25" spans="1:6" ht="15.75" customHeight="1" x14ac:dyDescent="0.2">
      <c r="A25" s="212"/>
      <c r="B25" s="212"/>
      <c r="C25" s="212"/>
      <c r="D25" s="216"/>
    </row>
    <row r="26" spans="1:6" ht="15.75" customHeight="1" x14ac:dyDescent="0.2">
      <c r="A26" s="396" t="s">
        <v>529</v>
      </c>
      <c r="B26" s="396"/>
      <c r="C26" s="396"/>
      <c r="D26" s="396"/>
    </row>
    <row r="27" spans="1:6" ht="15.75" customHeight="1" x14ac:dyDescent="0.2">
      <c r="A27" s="347" t="s">
        <v>530</v>
      </c>
      <c r="B27" s="236">
        <f>'AQUISIÇÃO DE BGS'!B96</f>
        <v>1714.1066666666673</v>
      </c>
      <c r="C27" s="347" t="s">
        <v>77</v>
      </c>
      <c r="D27" s="217"/>
    </row>
    <row r="28" spans="1:6" ht="15.75" customHeight="1" x14ac:dyDescent="0.2">
      <c r="A28" s="347" t="s">
        <v>531</v>
      </c>
      <c r="B28" s="236">
        <f>'AQUISIÇÃO DE BGS'!B97</f>
        <v>43838.278000000013</v>
      </c>
      <c r="C28" s="347" t="s">
        <v>526</v>
      </c>
      <c r="D28" s="217"/>
    </row>
    <row r="29" spans="1:6" ht="15.75" customHeight="1" x14ac:dyDescent="0.2">
      <c r="A29" s="347" t="s">
        <v>532</v>
      </c>
      <c r="B29" s="347">
        <f>B15</f>
        <v>3304.7999999999997</v>
      </c>
      <c r="C29" s="347" t="s">
        <v>77</v>
      </c>
      <c r="D29" s="218"/>
    </row>
    <row r="30" spans="1:6" ht="15.75" customHeight="1" x14ac:dyDescent="0.2">
      <c r="A30" s="212"/>
      <c r="B30" s="212"/>
      <c r="C30" s="212"/>
      <c r="D30" s="212"/>
    </row>
    <row r="31" spans="1:6" ht="15.75" customHeight="1" x14ac:dyDescent="0.2">
      <c r="A31" s="397" t="s">
        <v>533</v>
      </c>
      <c r="B31" s="398"/>
      <c r="C31" s="398"/>
      <c r="D31" s="399"/>
    </row>
    <row r="32" spans="1:6" ht="15.75" x14ac:dyDescent="0.2">
      <c r="A32" s="400" t="s">
        <v>534</v>
      </c>
      <c r="B32" s="401"/>
      <c r="C32" s="401"/>
      <c r="D32" s="402"/>
    </row>
    <row r="33" spans="1:4" ht="15.75" x14ac:dyDescent="0.2">
      <c r="A33" s="400" t="s">
        <v>535</v>
      </c>
      <c r="B33" s="401"/>
      <c r="C33" s="401"/>
      <c r="D33" s="402"/>
    </row>
    <row r="34" spans="1:4" ht="15.75" x14ac:dyDescent="0.2">
      <c r="A34" s="400" t="s">
        <v>536</v>
      </c>
      <c r="B34" s="401"/>
      <c r="C34" s="401"/>
      <c r="D34" s="402"/>
    </row>
    <row r="35" spans="1:4" ht="15.75" x14ac:dyDescent="0.2">
      <c r="A35" s="400" t="s">
        <v>537</v>
      </c>
      <c r="B35" s="401"/>
      <c r="C35" s="401"/>
      <c r="D35" s="402"/>
    </row>
    <row r="36" spans="1:4" ht="15.75" x14ac:dyDescent="0.2">
      <c r="A36" s="400" t="s">
        <v>538</v>
      </c>
      <c r="B36" s="401"/>
      <c r="C36" s="401"/>
      <c r="D36" s="402"/>
    </row>
    <row r="37" spans="1:4" ht="15.75" x14ac:dyDescent="0.2">
      <c r="A37" s="400" t="s">
        <v>539</v>
      </c>
      <c r="B37" s="401"/>
      <c r="C37" s="401"/>
      <c r="D37" s="402"/>
    </row>
    <row r="38" spans="1:4" ht="15.75" x14ac:dyDescent="0.2">
      <c r="A38" s="400" t="s">
        <v>540</v>
      </c>
      <c r="B38" s="401"/>
      <c r="C38" s="401"/>
      <c r="D38" s="402"/>
    </row>
    <row r="39" spans="1:4" ht="15.75" x14ac:dyDescent="0.2">
      <c r="A39" s="400" t="s">
        <v>541</v>
      </c>
      <c r="B39" s="401"/>
      <c r="C39" s="401"/>
      <c r="D39" s="402"/>
    </row>
    <row r="40" spans="1:4" ht="15.75" x14ac:dyDescent="0.2">
      <c r="A40" s="219"/>
      <c r="B40" s="395"/>
      <c r="C40" s="395"/>
      <c r="D40" s="395"/>
    </row>
    <row r="41" spans="1:4" ht="15.75" x14ac:dyDescent="0.2">
      <c r="A41" s="212"/>
      <c r="B41" s="395"/>
      <c r="C41" s="395"/>
      <c r="D41" s="395"/>
    </row>
    <row r="42" spans="1:4" ht="15.75" x14ac:dyDescent="0.2">
      <c r="A42" s="212"/>
      <c r="B42" s="213"/>
      <c r="C42" s="213"/>
      <c r="D42" s="213"/>
    </row>
    <row r="43" spans="1:4" ht="15.75" x14ac:dyDescent="0.2">
      <c r="A43" s="212"/>
      <c r="B43" s="213"/>
      <c r="C43" s="213"/>
      <c r="D43" s="213"/>
    </row>
    <row r="44" spans="1:4" ht="15.75" x14ac:dyDescent="0.2">
      <c r="A44" s="212"/>
      <c r="B44" s="213"/>
      <c r="C44" s="213"/>
      <c r="D44" s="213"/>
    </row>
    <row r="45" spans="1:4" ht="15.75" x14ac:dyDescent="0.2">
      <c r="A45" s="212"/>
      <c r="B45" s="213"/>
      <c r="C45" s="213"/>
      <c r="D45" s="213"/>
    </row>
    <row r="46" spans="1:4" ht="15.75" x14ac:dyDescent="0.2">
      <c r="A46" s="212"/>
      <c r="B46" s="213"/>
      <c r="C46" s="213"/>
      <c r="D46" s="213"/>
    </row>
    <row r="47" spans="1:4" ht="15.75" x14ac:dyDescent="0.2">
      <c r="A47" s="212"/>
      <c r="B47" s="213"/>
      <c r="C47" s="213"/>
      <c r="D47" s="213"/>
    </row>
    <row r="48" spans="1:4" ht="15.75" x14ac:dyDescent="0.2">
      <c r="A48" s="212"/>
      <c r="B48" s="213"/>
      <c r="C48" s="213"/>
      <c r="D48" s="213"/>
    </row>
    <row r="49" spans="1:4" ht="15.75" x14ac:dyDescent="0.2">
      <c r="A49" s="212"/>
      <c r="B49" s="213"/>
      <c r="C49" s="213"/>
      <c r="D49" s="213"/>
    </row>
    <row r="50" spans="1:4" ht="15.75" x14ac:dyDescent="0.2">
      <c r="A50" s="212"/>
      <c r="B50" s="212"/>
      <c r="C50" s="212"/>
      <c r="D50" s="212"/>
    </row>
    <row r="51" spans="1:4" ht="15.75" x14ac:dyDescent="0.2">
      <c r="A51" s="212"/>
      <c r="B51" s="212"/>
      <c r="C51" s="212"/>
      <c r="D51" s="212"/>
    </row>
    <row r="52" spans="1:4" ht="15.75" x14ac:dyDescent="0.2">
      <c r="A52" s="212"/>
      <c r="B52" s="212"/>
      <c r="C52" s="212"/>
      <c r="D52" s="212"/>
    </row>
    <row r="53" spans="1:4" ht="15.75" x14ac:dyDescent="0.2">
      <c r="A53" s="212"/>
      <c r="B53" s="212"/>
      <c r="C53" s="212"/>
      <c r="D53" s="212"/>
    </row>
    <row r="54" spans="1:4" ht="15.75" x14ac:dyDescent="0.2">
      <c r="A54" s="212"/>
      <c r="B54" s="212"/>
      <c r="C54" s="212"/>
      <c r="D54" s="212"/>
    </row>
    <row r="55" spans="1:4" ht="15.75" x14ac:dyDescent="0.2">
      <c r="A55" s="212"/>
      <c r="B55" s="212"/>
      <c r="C55" s="212"/>
      <c r="D55" s="212"/>
    </row>
    <row r="56" spans="1:4" ht="15.75" x14ac:dyDescent="0.2">
      <c r="A56" s="212"/>
      <c r="B56" s="212"/>
      <c r="C56" s="212"/>
      <c r="D56" s="212"/>
    </row>
    <row r="57" spans="1:4" ht="15.75" x14ac:dyDescent="0.2">
      <c r="A57" s="212"/>
      <c r="B57" s="212"/>
      <c r="C57" s="212"/>
      <c r="D57" s="212"/>
    </row>
    <row r="58" spans="1:4" ht="15.75" x14ac:dyDescent="0.2">
      <c r="A58" s="212"/>
      <c r="B58" s="212"/>
      <c r="C58" s="212"/>
      <c r="D58" s="212"/>
    </row>
    <row r="59" spans="1:4" ht="15.75" x14ac:dyDescent="0.2">
      <c r="A59" s="212"/>
      <c r="B59" s="212"/>
      <c r="C59" s="212"/>
      <c r="D59" s="212"/>
    </row>
    <row r="60" spans="1:4" ht="15.75" x14ac:dyDescent="0.2">
      <c r="A60" s="212"/>
      <c r="B60" s="212"/>
      <c r="C60" s="212"/>
      <c r="D60" s="212"/>
    </row>
    <row r="61" spans="1:4" ht="15.75" x14ac:dyDescent="0.2">
      <c r="A61" s="212"/>
      <c r="B61" s="212"/>
      <c r="C61" s="212"/>
      <c r="D61" s="212"/>
    </row>
    <row r="62" spans="1:4" ht="15.75" x14ac:dyDescent="0.2">
      <c r="A62" s="212"/>
      <c r="B62" s="212"/>
      <c r="C62" s="212"/>
      <c r="D62" s="212"/>
    </row>
    <row r="63" spans="1:4" ht="15.75" x14ac:dyDescent="0.2">
      <c r="A63" s="212"/>
      <c r="B63" s="212"/>
      <c r="C63" s="212"/>
      <c r="D63" s="212"/>
    </row>
    <row r="64" spans="1:4" ht="15.75" x14ac:dyDescent="0.2">
      <c r="A64" s="212"/>
      <c r="B64" s="212"/>
      <c r="C64" s="212"/>
      <c r="D64" s="212"/>
    </row>
    <row r="65" spans="1:4" ht="15.75" x14ac:dyDescent="0.2">
      <c r="A65" s="212"/>
      <c r="B65" s="212"/>
      <c r="C65" s="212"/>
      <c r="D65" s="212"/>
    </row>
    <row r="66" spans="1:4" ht="15.75" x14ac:dyDescent="0.2">
      <c r="A66" s="212"/>
      <c r="B66" s="212"/>
      <c r="C66" s="212"/>
      <c r="D66" s="212"/>
    </row>
    <row r="67" spans="1:4" ht="15.75" x14ac:dyDescent="0.2">
      <c r="A67" s="212"/>
      <c r="B67" s="212"/>
      <c r="C67" s="212"/>
      <c r="D67" s="212"/>
    </row>
    <row r="68" spans="1:4" ht="15.75" x14ac:dyDescent="0.2">
      <c r="A68" s="212"/>
      <c r="B68" s="212"/>
      <c r="C68" s="212"/>
      <c r="D68" s="212"/>
    </row>
    <row r="69" spans="1:4" ht="15.75" x14ac:dyDescent="0.2">
      <c r="A69" s="212"/>
      <c r="B69" s="212"/>
      <c r="C69" s="212"/>
      <c r="D69" s="212"/>
    </row>
    <row r="70" spans="1:4" ht="15.75" x14ac:dyDescent="0.2">
      <c r="A70" s="212"/>
      <c r="B70" s="212"/>
      <c r="C70" s="212"/>
      <c r="D70" s="212"/>
    </row>
    <row r="71" spans="1:4" ht="15.75" x14ac:dyDescent="0.2">
      <c r="A71" s="212"/>
      <c r="B71" s="212"/>
      <c r="C71" s="212"/>
      <c r="D71" s="212"/>
    </row>
    <row r="72" spans="1:4" ht="15.75" x14ac:dyDescent="0.2">
      <c r="A72" s="212"/>
      <c r="B72" s="212"/>
      <c r="C72" s="212"/>
      <c r="D72" s="212"/>
    </row>
    <row r="73" spans="1:4" ht="15.75" x14ac:dyDescent="0.2">
      <c r="A73" s="212"/>
      <c r="B73" s="212"/>
      <c r="C73" s="212"/>
      <c r="D73" s="212"/>
    </row>
    <row r="74" spans="1:4" ht="15.75" x14ac:dyDescent="0.2">
      <c r="A74" s="212"/>
      <c r="B74" s="212"/>
      <c r="C74" s="212"/>
      <c r="D74" s="212"/>
    </row>
    <row r="75" spans="1:4" ht="15.75" x14ac:dyDescent="0.2">
      <c r="A75" s="212"/>
      <c r="B75" s="212"/>
      <c r="C75" s="212"/>
      <c r="D75" s="212"/>
    </row>
    <row r="76" spans="1:4" ht="15.75" x14ac:dyDescent="0.2">
      <c r="A76" s="212"/>
      <c r="B76" s="212"/>
      <c r="C76" s="212"/>
      <c r="D76" s="212"/>
    </row>
    <row r="77" spans="1:4" ht="15.75" x14ac:dyDescent="0.2">
      <c r="A77" s="212"/>
      <c r="B77" s="212"/>
      <c r="C77" s="212"/>
      <c r="D77" s="212"/>
    </row>
    <row r="78" spans="1:4" ht="15.75" x14ac:dyDescent="0.2">
      <c r="A78" s="212"/>
      <c r="B78" s="212"/>
      <c r="C78" s="212"/>
      <c r="D78" s="212"/>
    </row>
    <row r="79" spans="1:4" ht="15.75" x14ac:dyDescent="0.2">
      <c r="A79" s="212"/>
      <c r="B79" s="212"/>
      <c r="C79" s="212"/>
      <c r="D79" s="212"/>
    </row>
    <row r="80" spans="1:4" ht="15.75" x14ac:dyDescent="0.2">
      <c r="A80" s="212"/>
      <c r="B80" s="212"/>
      <c r="C80" s="212"/>
      <c r="D80" s="212"/>
    </row>
    <row r="81" spans="1:4" ht="15.75" x14ac:dyDescent="0.2">
      <c r="A81" s="212"/>
      <c r="B81" s="212"/>
      <c r="C81" s="212"/>
      <c r="D81" s="212"/>
    </row>
    <row r="82" spans="1:4" ht="15.75" x14ac:dyDescent="0.2">
      <c r="A82" s="212"/>
      <c r="B82" s="212"/>
      <c r="C82" s="212"/>
      <c r="D82" s="212"/>
    </row>
    <row r="83" spans="1:4" ht="15.75" x14ac:dyDescent="0.2">
      <c r="A83" s="212"/>
      <c r="B83" s="212"/>
      <c r="C83" s="212"/>
      <c r="D83" s="212"/>
    </row>
    <row r="84" spans="1:4" ht="15.75" x14ac:dyDescent="0.2">
      <c r="A84" s="212"/>
      <c r="B84" s="212"/>
      <c r="C84" s="212"/>
      <c r="D84" s="212"/>
    </row>
    <row r="85" spans="1:4" ht="15.75" x14ac:dyDescent="0.2">
      <c r="A85" s="212"/>
      <c r="B85" s="212"/>
      <c r="C85" s="212"/>
      <c r="D85" s="212"/>
    </row>
    <row r="86" spans="1:4" ht="15.75" x14ac:dyDescent="0.2">
      <c r="A86" s="212"/>
      <c r="B86" s="212"/>
      <c r="C86" s="212"/>
      <c r="D86" s="212"/>
    </row>
    <row r="87" spans="1:4" ht="15.75" x14ac:dyDescent="0.2">
      <c r="A87" s="212"/>
      <c r="B87" s="212"/>
      <c r="C87" s="212"/>
      <c r="D87" s="212"/>
    </row>
    <row r="88" spans="1:4" ht="15.75" x14ac:dyDescent="0.2">
      <c r="A88" s="212"/>
      <c r="B88" s="212"/>
      <c r="C88" s="212"/>
      <c r="D88" s="212"/>
    </row>
    <row r="89" spans="1:4" ht="15.75" x14ac:dyDescent="0.2">
      <c r="A89" s="212"/>
      <c r="B89" s="212"/>
      <c r="C89" s="212"/>
      <c r="D89" s="212"/>
    </row>
    <row r="90" spans="1:4" ht="15.75" x14ac:dyDescent="0.2">
      <c r="A90" s="212"/>
      <c r="B90" s="212"/>
      <c r="C90" s="212"/>
      <c r="D90" s="212"/>
    </row>
    <row r="91" spans="1:4" ht="15.75" x14ac:dyDescent="0.2">
      <c r="A91" s="212"/>
      <c r="B91" s="212"/>
      <c r="C91" s="212"/>
      <c r="D91" s="212"/>
    </row>
    <row r="92" spans="1:4" ht="15.75" x14ac:dyDescent="0.2">
      <c r="A92" s="212"/>
      <c r="B92" s="212"/>
      <c r="C92" s="212"/>
      <c r="D92" s="212"/>
    </row>
    <row r="93" spans="1:4" ht="15.75" x14ac:dyDescent="0.2">
      <c r="A93" s="212"/>
      <c r="B93" s="212"/>
      <c r="C93" s="212"/>
      <c r="D93" s="212"/>
    </row>
    <row r="94" spans="1:4" ht="15.75" x14ac:dyDescent="0.2">
      <c r="A94" s="212"/>
      <c r="B94" s="212"/>
      <c r="C94" s="212"/>
      <c r="D94" s="212"/>
    </row>
    <row r="95" spans="1:4" ht="15.75" x14ac:dyDescent="0.2">
      <c r="A95" s="212"/>
      <c r="B95" s="212"/>
      <c r="C95" s="212"/>
      <c r="D95" s="212"/>
    </row>
    <row r="96" spans="1:4" ht="15.75" x14ac:dyDescent="0.2">
      <c r="A96" s="212"/>
      <c r="B96" s="212"/>
      <c r="C96" s="212"/>
      <c r="D96" s="212"/>
    </row>
    <row r="97" spans="1:4" ht="15.75" x14ac:dyDescent="0.2">
      <c r="A97" s="212"/>
      <c r="B97" s="212"/>
      <c r="C97" s="212"/>
      <c r="D97" s="212"/>
    </row>
    <row r="98" spans="1:4" ht="15.75" x14ac:dyDescent="0.2">
      <c r="A98" s="212"/>
      <c r="B98" s="212"/>
      <c r="C98" s="212"/>
      <c r="D98" s="212"/>
    </row>
    <row r="99" spans="1:4" ht="15.75" x14ac:dyDescent="0.2">
      <c r="A99" s="212"/>
      <c r="B99" s="212"/>
      <c r="C99" s="212"/>
      <c r="D99" s="212"/>
    </row>
    <row r="100" spans="1:4" ht="15.75" x14ac:dyDescent="0.2">
      <c r="A100" s="212"/>
      <c r="B100" s="212"/>
      <c r="C100" s="212"/>
      <c r="D100" s="212"/>
    </row>
    <row r="101" spans="1:4" ht="15.75" x14ac:dyDescent="0.2">
      <c r="A101" s="212"/>
      <c r="B101" s="212"/>
      <c r="C101" s="212"/>
      <c r="D101" s="212"/>
    </row>
    <row r="102" spans="1:4" ht="15.75" x14ac:dyDescent="0.2">
      <c r="A102" s="212"/>
      <c r="B102" s="212"/>
      <c r="C102" s="212"/>
      <c r="D102" s="212"/>
    </row>
    <row r="103" spans="1:4" ht="15.75" x14ac:dyDescent="0.2">
      <c r="A103" s="212"/>
      <c r="B103" s="212"/>
      <c r="C103" s="212"/>
      <c r="D103" s="212"/>
    </row>
    <row r="104" spans="1:4" ht="15.75" x14ac:dyDescent="0.2">
      <c r="A104" s="212"/>
      <c r="B104" s="212"/>
      <c r="C104" s="212"/>
      <c r="D104" s="212"/>
    </row>
    <row r="105" spans="1:4" ht="15.75" x14ac:dyDescent="0.2">
      <c r="A105" s="212"/>
      <c r="B105" s="212"/>
      <c r="C105" s="212"/>
      <c r="D105" s="212"/>
    </row>
    <row r="106" spans="1:4" ht="15.75" x14ac:dyDescent="0.2">
      <c r="A106" s="212"/>
      <c r="B106" s="212"/>
      <c r="C106" s="212"/>
      <c r="D106" s="212"/>
    </row>
    <row r="107" spans="1:4" ht="15.75" x14ac:dyDescent="0.2">
      <c r="A107" s="212"/>
      <c r="B107" s="212"/>
      <c r="C107" s="212"/>
      <c r="D107" s="212"/>
    </row>
    <row r="108" spans="1:4" ht="15.75" x14ac:dyDescent="0.2">
      <c r="A108" s="212"/>
      <c r="B108" s="212"/>
      <c r="C108" s="212"/>
      <c r="D108" s="212"/>
    </row>
    <row r="109" spans="1:4" ht="15.75" x14ac:dyDescent="0.2">
      <c r="A109" s="212"/>
      <c r="B109" s="212"/>
      <c r="C109" s="212"/>
      <c r="D109" s="212"/>
    </row>
    <row r="110" spans="1:4" ht="15.75" x14ac:dyDescent="0.2">
      <c r="A110" s="212"/>
      <c r="B110" s="212"/>
      <c r="C110" s="212"/>
      <c r="D110" s="212"/>
    </row>
    <row r="111" spans="1:4" ht="15.75" x14ac:dyDescent="0.2">
      <c r="A111" s="212"/>
      <c r="B111" s="212"/>
      <c r="C111" s="212"/>
      <c r="D111" s="212"/>
    </row>
    <row r="112" spans="1:4" ht="15.75" x14ac:dyDescent="0.2">
      <c r="A112" s="212"/>
      <c r="B112" s="212"/>
      <c r="C112" s="212"/>
      <c r="D112" s="212"/>
    </row>
    <row r="113" spans="1:4" ht="15.75" x14ac:dyDescent="0.2">
      <c r="A113" s="212"/>
      <c r="B113" s="212"/>
      <c r="C113" s="212"/>
      <c r="D113" s="212"/>
    </row>
    <row r="114" spans="1:4" ht="15.75" x14ac:dyDescent="0.2">
      <c r="A114" s="212"/>
      <c r="B114" s="212"/>
      <c r="C114" s="212"/>
      <c r="D114" s="212"/>
    </row>
    <row r="115" spans="1:4" ht="15.75" x14ac:dyDescent="0.2">
      <c r="A115" s="212"/>
      <c r="B115" s="212"/>
      <c r="C115" s="212"/>
      <c r="D115" s="212"/>
    </row>
    <row r="116" spans="1:4" ht="15.75" x14ac:dyDescent="0.2">
      <c r="A116" s="212"/>
      <c r="B116" s="212"/>
      <c r="C116" s="212"/>
      <c r="D116" s="212"/>
    </row>
    <row r="117" spans="1:4" ht="15.75" x14ac:dyDescent="0.2">
      <c r="A117" s="212"/>
      <c r="B117" s="212"/>
      <c r="C117" s="212"/>
      <c r="D117" s="212"/>
    </row>
    <row r="118" spans="1:4" ht="15.75" x14ac:dyDescent="0.2">
      <c r="A118" s="212"/>
      <c r="B118" s="212"/>
      <c r="C118" s="212"/>
      <c r="D118" s="212"/>
    </row>
    <row r="119" spans="1:4" ht="15.75" x14ac:dyDescent="0.2">
      <c r="A119" s="212"/>
      <c r="B119" s="212"/>
      <c r="C119" s="212"/>
      <c r="D119" s="212"/>
    </row>
    <row r="120" spans="1:4" ht="15.75" x14ac:dyDescent="0.2">
      <c r="A120" s="212"/>
      <c r="B120" s="212"/>
      <c r="C120" s="212"/>
      <c r="D120" s="212"/>
    </row>
    <row r="121" spans="1:4" ht="15.75" x14ac:dyDescent="0.2">
      <c r="A121" s="212"/>
      <c r="B121" s="212"/>
      <c r="C121" s="212"/>
      <c r="D121" s="212"/>
    </row>
    <row r="122" spans="1:4" ht="15.75" x14ac:dyDescent="0.2">
      <c r="A122" s="212"/>
      <c r="B122" s="212"/>
      <c r="C122" s="212"/>
      <c r="D122" s="212"/>
    </row>
    <row r="123" spans="1:4" ht="15.75" x14ac:dyDescent="0.2">
      <c r="A123" s="212"/>
      <c r="B123" s="212"/>
      <c r="C123" s="212"/>
      <c r="D123" s="212"/>
    </row>
    <row r="124" spans="1:4" ht="15.75" x14ac:dyDescent="0.2">
      <c r="A124" s="212"/>
      <c r="B124" s="212"/>
      <c r="C124" s="212"/>
      <c r="D124" s="212"/>
    </row>
    <row r="125" spans="1:4" ht="15.75" x14ac:dyDescent="0.2">
      <c r="A125" s="212"/>
      <c r="B125" s="212"/>
      <c r="C125" s="212"/>
      <c r="D125" s="212"/>
    </row>
    <row r="126" spans="1:4" ht="15.75" x14ac:dyDescent="0.2">
      <c r="A126" s="212"/>
      <c r="B126" s="212"/>
      <c r="C126" s="212"/>
      <c r="D126" s="212"/>
    </row>
    <row r="127" spans="1:4" ht="15.75" x14ac:dyDescent="0.2">
      <c r="A127" s="212"/>
      <c r="B127" s="212"/>
      <c r="C127" s="212"/>
      <c r="D127" s="212"/>
    </row>
    <row r="128" spans="1:4" ht="15.75" x14ac:dyDescent="0.2">
      <c r="A128" s="212"/>
      <c r="B128" s="212"/>
      <c r="C128" s="212"/>
      <c r="D128" s="212"/>
    </row>
    <row r="129" spans="1:4" ht="15.75" x14ac:dyDescent="0.2">
      <c r="A129" s="212"/>
      <c r="B129" s="212"/>
      <c r="C129" s="212"/>
      <c r="D129" s="212"/>
    </row>
    <row r="130" spans="1:4" ht="15.75" x14ac:dyDescent="0.2">
      <c r="A130" s="212"/>
      <c r="B130" s="212"/>
      <c r="C130" s="212"/>
      <c r="D130" s="212"/>
    </row>
    <row r="131" spans="1:4" ht="15.75" x14ac:dyDescent="0.2">
      <c r="A131" s="212"/>
      <c r="B131" s="212"/>
      <c r="C131" s="212"/>
      <c r="D131" s="212"/>
    </row>
    <row r="132" spans="1:4" ht="15.75" x14ac:dyDescent="0.2">
      <c r="A132" s="212"/>
      <c r="B132" s="212"/>
      <c r="C132" s="212"/>
      <c r="D132" s="212"/>
    </row>
    <row r="133" spans="1:4" ht="15.75" x14ac:dyDescent="0.2">
      <c r="A133" s="212"/>
      <c r="B133" s="212"/>
      <c r="C133" s="212"/>
      <c r="D133" s="212"/>
    </row>
    <row r="134" spans="1:4" ht="15.75" x14ac:dyDescent="0.2">
      <c r="A134" s="212"/>
      <c r="B134" s="212"/>
      <c r="C134" s="212"/>
      <c r="D134" s="212"/>
    </row>
    <row r="135" spans="1:4" ht="15.75" x14ac:dyDescent="0.2">
      <c r="A135" s="212"/>
      <c r="B135" s="212"/>
      <c r="C135" s="212"/>
      <c r="D135" s="212"/>
    </row>
    <row r="136" spans="1:4" ht="15.75" x14ac:dyDescent="0.2">
      <c r="A136" s="212"/>
      <c r="B136" s="212"/>
      <c r="C136" s="212"/>
      <c r="D136" s="212"/>
    </row>
    <row r="137" spans="1:4" ht="15.75" x14ac:dyDescent="0.2">
      <c r="A137" s="212"/>
      <c r="B137" s="212"/>
      <c r="C137" s="212"/>
      <c r="D137" s="212"/>
    </row>
    <row r="138" spans="1:4" ht="15.75" x14ac:dyDescent="0.2">
      <c r="A138" s="212"/>
      <c r="B138" s="212"/>
      <c r="C138" s="212"/>
      <c r="D138" s="212"/>
    </row>
    <row r="139" spans="1:4" ht="15.75" x14ac:dyDescent="0.2">
      <c r="A139" s="212"/>
      <c r="B139" s="212"/>
      <c r="C139" s="212"/>
      <c r="D139" s="212"/>
    </row>
    <row r="140" spans="1:4" ht="15.75" x14ac:dyDescent="0.2">
      <c r="A140" s="212"/>
      <c r="B140" s="212"/>
      <c r="C140" s="212"/>
      <c r="D140" s="212"/>
    </row>
    <row r="141" spans="1:4" ht="15.75" x14ac:dyDescent="0.2">
      <c r="A141" s="212"/>
      <c r="B141" s="212"/>
      <c r="C141" s="212"/>
      <c r="D141" s="212"/>
    </row>
    <row r="142" spans="1:4" ht="15.75" x14ac:dyDescent="0.2">
      <c r="A142" s="212"/>
      <c r="B142" s="212"/>
      <c r="C142" s="212"/>
      <c r="D142" s="212"/>
    </row>
    <row r="143" spans="1:4" ht="15.75" x14ac:dyDescent="0.2">
      <c r="A143" s="212"/>
      <c r="B143" s="212"/>
      <c r="C143" s="212"/>
      <c r="D143" s="212"/>
    </row>
    <row r="144" spans="1:4" ht="15.75" x14ac:dyDescent="0.2">
      <c r="A144" s="212"/>
      <c r="B144" s="212"/>
      <c r="C144" s="212"/>
      <c r="D144" s="212"/>
    </row>
    <row r="145" spans="1:4" ht="15.75" x14ac:dyDescent="0.2">
      <c r="A145" s="212"/>
      <c r="B145" s="212"/>
      <c r="C145" s="212"/>
      <c r="D145" s="212"/>
    </row>
    <row r="146" spans="1:4" ht="15.75" x14ac:dyDescent="0.2">
      <c r="A146" s="212"/>
      <c r="B146" s="212"/>
      <c r="C146" s="212"/>
      <c r="D146" s="212"/>
    </row>
    <row r="147" spans="1:4" ht="15.75" x14ac:dyDescent="0.2">
      <c r="A147" s="212"/>
      <c r="B147" s="212"/>
      <c r="C147" s="212"/>
      <c r="D147" s="212"/>
    </row>
    <row r="148" spans="1:4" ht="15.75" x14ac:dyDescent="0.2">
      <c r="A148" s="212"/>
      <c r="B148" s="212"/>
      <c r="C148" s="212"/>
      <c r="D148" s="212"/>
    </row>
    <row r="149" spans="1:4" ht="15.75" x14ac:dyDescent="0.2">
      <c r="A149" s="212"/>
      <c r="B149" s="212"/>
      <c r="C149" s="212"/>
      <c r="D149" s="212"/>
    </row>
    <row r="150" spans="1:4" ht="15.75" x14ac:dyDescent="0.2">
      <c r="A150" s="212"/>
      <c r="B150" s="212"/>
      <c r="C150" s="212"/>
      <c r="D150" s="212"/>
    </row>
    <row r="151" spans="1:4" ht="15.75" x14ac:dyDescent="0.2">
      <c r="A151" s="212"/>
      <c r="B151" s="212"/>
      <c r="C151" s="212"/>
      <c r="D151" s="212"/>
    </row>
    <row r="152" spans="1:4" ht="15.75" x14ac:dyDescent="0.2">
      <c r="A152" s="212"/>
      <c r="B152" s="212"/>
      <c r="C152" s="212"/>
      <c r="D152" s="212"/>
    </row>
    <row r="153" spans="1:4" ht="15.75" x14ac:dyDescent="0.2">
      <c r="A153" s="212"/>
      <c r="B153" s="212"/>
      <c r="C153" s="212"/>
      <c r="D153" s="212"/>
    </row>
    <row r="154" spans="1:4" ht="15.75" x14ac:dyDescent="0.2">
      <c r="A154" s="212"/>
      <c r="B154" s="212"/>
      <c r="C154" s="212"/>
      <c r="D154" s="212"/>
    </row>
    <row r="155" spans="1:4" ht="15.75" x14ac:dyDescent="0.2">
      <c r="A155" s="212"/>
      <c r="B155" s="212"/>
      <c r="C155" s="212"/>
      <c r="D155" s="212"/>
    </row>
  </sheetData>
  <mergeCells count="19">
    <mergeCell ref="A2:D3"/>
    <mergeCell ref="A5:C6"/>
    <mergeCell ref="A7:D7"/>
    <mergeCell ref="A10:D12"/>
    <mergeCell ref="A13:D13"/>
    <mergeCell ref="A19:D19"/>
    <mergeCell ref="A21:D21"/>
    <mergeCell ref="B41:D41"/>
    <mergeCell ref="A26:D26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B40:D40"/>
  </mergeCells>
  <pageMargins left="0.511811024" right="0.511811024" top="0.78740157499999996" bottom="0.78740157499999996" header="0.31496062000000002" footer="0.31496062000000002"/>
  <pageSetup paperSize="9" scale="75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3"/>
  <sheetViews>
    <sheetView showGridLines="0" view="pageBreakPreview" topLeftCell="C1" zoomScaleNormal="100" zoomScaleSheetLayoutView="100" workbookViewId="0">
      <pane xSplit="2" ySplit="12" topLeftCell="E43" activePane="bottomRight" state="frozen"/>
      <selection pane="topRight" activeCell="F20" sqref="F20"/>
      <selection pane="bottomLeft" activeCell="F20" sqref="F20"/>
      <selection pane="bottomRight" activeCell="H58" sqref="H58"/>
    </sheetView>
  </sheetViews>
  <sheetFormatPr defaultColWidth="9" defaultRowHeight="12" x14ac:dyDescent="0.2"/>
  <cols>
    <col min="1" max="1" width="15.33203125" style="1" customWidth="1"/>
    <col min="2" max="2" width="14.83203125" style="8" customWidth="1"/>
    <col min="3" max="3" width="95.33203125" style="1" customWidth="1"/>
    <col min="4" max="4" width="6.6640625" style="7" customWidth="1"/>
    <col min="5" max="5" width="20.33203125" style="3" customWidth="1"/>
    <col min="6" max="6" width="17" style="3" customWidth="1"/>
    <col min="7" max="7" width="14.33203125" style="3" customWidth="1"/>
    <col min="8" max="8" width="17.5" style="3" customWidth="1"/>
    <col min="9" max="9" width="13" style="3" customWidth="1"/>
    <col min="10" max="10" width="14.6640625" style="4" hidden="1" customWidth="1"/>
    <col min="11" max="11" width="14.6640625" style="2" customWidth="1"/>
    <col min="12" max="12" width="20.6640625" style="1" customWidth="1"/>
    <col min="13" max="13" width="19.83203125" style="1" customWidth="1"/>
    <col min="14" max="14" width="20" style="1" customWidth="1"/>
    <col min="15" max="15" width="19.6640625" style="1" customWidth="1"/>
    <col min="16" max="16" width="26.1640625" style="1" customWidth="1"/>
    <col min="17" max="18" width="14.33203125" style="1" customWidth="1"/>
    <col min="19" max="19" width="13.1640625" style="1" customWidth="1"/>
    <col min="20" max="20" width="27.1640625" style="1" hidden="1" customWidth="1"/>
    <col min="21" max="21" width="16.5" style="1" hidden="1" customWidth="1"/>
    <col min="22" max="22" width="13.83203125" style="1" hidden="1" customWidth="1"/>
    <col min="23" max="23" width="0" style="1" hidden="1" customWidth="1"/>
    <col min="24" max="24" width="9" style="1"/>
    <col min="25" max="25" width="9.33203125" style="1" bestFit="1" customWidth="1"/>
    <col min="26" max="16384" width="9" style="1"/>
  </cols>
  <sheetData>
    <row r="1" spans="1:25" s="11" customFormat="1" ht="12.75" x14ac:dyDescent="0.2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8"/>
    </row>
    <row r="2" spans="1:25" s="11" customFormat="1" ht="12.75" x14ac:dyDescent="0.2">
      <c r="A2" s="376" t="s">
        <v>0</v>
      </c>
      <c r="B2" s="377"/>
      <c r="C2" s="377"/>
      <c r="D2" s="19"/>
      <c r="E2" s="20"/>
      <c r="F2" s="20"/>
      <c r="G2" s="20"/>
      <c r="H2" s="20"/>
      <c r="I2" s="20"/>
      <c r="J2" s="13"/>
      <c r="S2" s="21"/>
    </row>
    <row r="3" spans="1:25" s="11" customFormat="1" ht="12.75" x14ac:dyDescent="0.2">
      <c r="A3" s="376"/>
      <c r="B3" s="377"/>
      <c r="C3" s="377"/>
      <c r="D3" s="19"/>
      <c r="E3" s="20"/>
      <c r="F3" s="20"/>
      <c r="G3" s="20"/>
      <c r="H3" s="20"/>
      <c r="I3" s="20"/>
      <c r="J3" s="13"/>
      <c r="S3" s="21"/>
    </row>
    <row r="4" spans="1:25" s="11" customFormat="1" ht="12.75" x14ac:dyDescent="0.2">
      <c r="A4" s="22"/>
      <c r="B4" s="343"/>
      <c r="C4" s="23"/>
      <c r="D4" s="343"/>
      <c r="E4" s="24"/>
      <c r="F4" s="24"/>
      <c r="G4" s="24"/>
      <c r="H4" s="24"/>
      <c r="I4" s="24"/>
      <c r="J4" s="13"/>
      <c r="S4" s="21"/>
    </row>
    <row r="5" spans="1:25" s="11" customFormat="1" ht="27.95" customHeight="1" x14ac:dyDescent="0.2">
      <c r="A5" s="376" t="s">
        <v>1</v>
      </c>
      <c r="B5" s="377"/>
      <c r="C5" s="377"/>
      <c r="D5" s="377"/>
      <c r="E5" s="377"/>
      <c r="F5" s="377"/>
      <c r="G5" s="377"/>
      <c r="H5" s="377"/>
      <c r="I5" s="377"/>
      <c r="J5" s="377"/>
      <c r="S5" s="21"/>
    </row>
    <row r="6" spans="1:25" s="11" customFormat="1" ht="12.75" x14ac:dyDescent="0.2">
      <c r="A6" s="25"/>
      <c r="D6" s="343"/>
      <c r="E6" s="24"/>
      <c r="F6" s="24"/>
      <c r="G6" s="24"/>
      <c r="H6" s="24"/>
      <c r="I6" s="24"/>
      <c r="J6" s="13"/>
      <c r="S6" s="21"/>
    </row>
    <row r="7" spans="1:25" s="11" customFormat="1" ht="15.75" x14ac:dyDescent="0.2">
      <c r="A7" s="388" t="s">
        <v>23</v>
      </c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408"/>
    </row>
    <row r="8" spans="1:25" s="11" customFormat="1" ht="12.75" x14ac:dyDescent="0.2">
      <c r="A8" s="26" t="s">
        <v>8</v>
      </c>
      <c r="B8" s="15" t="s">
        <v>9</v>
      </c>
      <c r="C8" s="12"/>
      <c r="D8" s="12"/>
      <c r="E8" s="361" t="s">
        <v>24</v>
      </c>
      <c r="F8" s="362">
        <v>15</v>
      </c>
      <c r="G8" s="13"/>
      <c r="H8" s="13"/>
      <c r="I8" s="13"/>
      <c r="J8" s="14"/>
      <c r="S8" s="27"/>
    </row>
    <row r="9" spans="1:25" s="11" customFormat="1" ht="12.75" x14ac:dyDescent="0.2">
      <c r="A9" s="28" t="s">
        <v>5</v>
      </c>
      <c r="B9" s="29" t="s">
        <v>25</v>
      </c>
      <c r="C9" s="29"/>
      <c r="D9" s="29"/>
      <c r="E9" s="76" t="s">
        <v>26</v>
      </c>
      <c r="F9" s="77" t="s">
        <v>1048</v>
      </c>
      <c r="G9" s="29"/>
      <c r="H9" s="29"/>
      <c r="I9" s="29"/>
      <c r="J9" s="30"/>
      <c r="K9" s="30"/>
      <c r="L9" s="30"/>
      <c r="M9" s="30"/>
      <c r="N9" s="30"/>
      <c r="O9" s="30"/>
      <c r="P9" s="30"/>
      <c r="Q9" s="30"/>
      <c r="R9" s="30"/>
      <c r="S9" s="31"/>
    </row>
    <row r="10" spans="1:25" s="11" customFormat="1" ht="12.75" x14ac:dyDescent="0.2">
      <c r="A10" s="390" t="s">
        <v>12</v>
      </c>
      <c r="B10" s="390" t="s">
        <v>27</v>
      </c>
      <c r="C10" s="390" t="s">
        <v>13</v>
      </c>
      <c r="D10" s="390" t="s">
        <v>28</v>
      </c>
      <c r="E10" s="391" t="s">
        <v>29</v>
      </c>
      <c r="F10" s="391"/>
      <c r="G10" s="391"/>
      <c r="H10" s="391"/>
      <c r="I10" s="391"/>
      <c r="J10" s="30"/>
      <c r="K10" s="418" t="s">
        <v>542</v>
      </c>
      <c r="L10" s="419" t="s">
        <v>35</v>
      </c>
      <c r="M10" s="419"/>
      <c r="N10" s="419"/>
      <c r="O10" s="419"/>
      <c r="P10" s="419"/>
      <c r="Q10" s="413" t="s">
        <v>543</v>
      </c>
      <c r="R10" s="414"/>
      <c r="S10" s="415"/>
      <c r="U10" s="381" t="s">
        <v>30</v>
      </c>
      <c r="V10" s="382"/>
    </row>
    <row r="11" spans="1:25" ht="42" customHeight="1" x14ac:dyDescent="0.2">
      <c r="A11" s="390"/>
      <c r="B11" s="390"/>
      <c r="C11" s="390"/>
      <c r="D11" s="390"/>
      <c r="E11" s="344" t="s">
        <v>14</v>
      </c>
      <c r="F11" s="344" t="s">
        <v>544</v>
      </c>
      <c r="G11" s="344" t="s">
        <v>545</v>
      </c>
      <c r="H11" s="344" t="s">
        <v>546</v>
      </c>
      <c r="I11" s="344" t="s">
        <v>547</v>
      </c>
      <c r="J11" s="45" t="s">
        <v>548</v>
      </c>
      <c r="K11" s="418"/>
      <c r="L11" s="46" t="s">
        <v>14</v>
      </c>
      <c r="M11" s="344" t="s">
        <v>544</v>
      </c>
      <c r="N11" s="344" t="s">
        <v>545</v>
      </c>
      <c r="O11" s="344" t="s">
        <v>546</v>
      </c>
      <c r="P11" s="344" t="s">
        <v>547</v>
      </c>
      <c r="Q11" s="349" t="s">
        <v>19</v>
      </c>
      <c r="R11" s="349" t="s">
        <v>20</v>
      </c>
      <c r="S11" s="349" t="s">
        <v>21</v>
      </c>
      <c r="T11" s="10"/>
      <c r="U11" s="1" t="s">
        <v>34</v>
      </c>
      <c r="V11" s="1" t="s">
        <v>35</v>
      </c>
    </row>
    <row r="12" spans="1:25" ht="19.5" customHeight="1" x14ac:dyDescent="0.2">
      <c r="A12" s="344"/>
      <c r="B12" s="344"/>
      <c r="C12" s="344"/>
      <c r="D12" s="344"/>
      <c r="E12" s="344"/>
      <c r="F12" s="344"/>
      <c r="G12" s="344"/>
      <c r="H12" s="344"/>
      <c r="I12" s="344"/>
      <c r="J12" s="45"/>
      <c r="K12" s="349"/>
      <c r="L12" s="100">
        <f>L207</f>
        <v>12288206.050000001</v>
      </c>
      <c r="M12" s="100">
        <f t="shared" ref="M12:P12" si="0">M207</f>
        <v>7549538.0399999991</v>
      </c>
      <c r="N12" s="100">
        <f t="shared" si="0"/>
        <v>1351257.87</v>
      </c>
      <c r="O12" s="100">
        <f t="shared" si="0"/>
        <v>8900795.8899999987</v>
      </c>
      <c r="P12" s="100">
        <f t="shared" si="0"/>
        <v>3388266.13</v>
      </c>
      <c r="Q12" s="100">
        <f>N12/L12*100</f>
        <v>10.996380305650881</v>
      </c>
      <c r="R12" s="100">
        <f>O12/L12*100</f>
        <v>72.433647790272843</v>
      </c>
      <c r="S12" s="100">
        <f>P12/L12*100</f>
        <v>27.573317994614843</v>
      </c>
      <c r="T12" s="10"/>
      <c r="Y12" s="237">
        <f>O12/L12</f>
        <v>0.72433647790272837</v>
      </c>
    </row>
    <row r="13" spans="1:25" customFormat="1" ht="12.75" x14ac:dyDescent="0.2">
      <c r="A13" s="54" t="s">
        <v>36</v>
      </c>
      <c r="B13" s="55"/>
      <c r="C13" s="54" t="s">
        <v>37</v>
      </c>
      <c r="D13" s="56"/>
      <c r="E13" s="56"/>
      <c r="F13" s="56"/>
      <c r="G13" s="56"/>
      <c r="H13" s="56"/>
      <c r="I13" s="56"/>
      <c r="J13" s="57" t="s">
        <v>46</v>
      </c>
      <c r="K13" s="58"/>
      <c r="L13" s="72">
        <f>L14+L16+L21</f>
        <v>55951.119999999995</v>
      </c>
      <c r="M13" s="72">
        <f t="shared" ref="M13:P13" si="1">M14+M16+M21</f>
        <v>46445.45</v>
      </c>
      <c r="N13" s="72">
        <f t="shared" si="1"/>
        <v>0</v>
      </c>
      <c r="O13" s="72">
        <f t="shared" si="1"/>
        <v>46445.45</v>
      </c>
      <c r="P13" s="59">
        <f t="shared" si="1"/>
        <v>9505.67</v>
      </c>
      <c r="Q13" s="59">
        <f t="shared" ref="Q13:Q22" si="2">N13/L13*100</f>
        <v>0</v>
      </c>
      <c r="R13" s="59">
        <f t="shared" ref="R13:R22" si="3">O13/L13*100</f>
        <v>83.010760106321385</v>
      </c>
      <c r="S13" s="60">
        <f t="shared" ref="S13:S22" si="4">P13/L13*100</f>
        <v>16.989239893678626</v>
      </c>
      <c r="T13" s="34">
        <f>L13-P13</f>
        <v>46445.45</v>
      </c>
      <c r="Y13" s="237">
        <f t="shared" ref="Y13:Y76" si="5">O13/L13</f>
        <v>0.8301076010632138</v>
      </c>
    </row>
    <row r="14" spans="1:25" customFormat="1" ht="12.75" x14ac:dyDescent="0.2">
      <c r="A14" s="47" t="s">
        <v>38</v>
      </c>
      <c r="B14" s="48"/>
      <c r="C14" s="47" t="s">
        <v>39</v>
      </c>
      <c r="D14" s="49"/>
      <c r="E14" s="49"/>
      <c r="F14" s="49"/>
      <c r="G14" s="49"/>
      <c r="H14" s="49"/>
      <c r="I14" s="49"/>
      <c r="J14" s="50" t="s">
        <v>46</v>
      </c>
      <c r="K14" s="51"/>
      <c r="L14" s="73">
        <f>L15</f>
        <v>17424.8</v>
      </c>
      <c r="M14" s="73">
        <f t="shared" ref="M14:P14" si="6">M15</f>
        <v>17424.8</v>
      </c>
      <c r="N14" s="73">
        <f t="shared" si="6"/>
        <v>0</v>
      </c>
      <c r="O14" s="73">
        <f t="shared" si="6"/>
        <v>17424.8</v>
      </c>
      <c r="P14" s="52">
        <f t="shared" si="6"/>
        <v>0</v>
      </c>
      <c r="Q14" s="52">
        <f t="shared" si="2"/>
        <v>0</v>
      </c>
      <c r="R14" s="52">
        <f t="shared" si="3"/>
        <v>100</v>
      </c>
      <c r="S14" s="53">
        <f t="shared" si="4"/>
        <v>0</v>
      </c>
      <c r="T14" s="34">
        <f t="shared" ref="T14:T77" si="7">L14-P14</f>
        <v>17424.8</v>
      </c>
      <c r="Y14" s="237">
        <f t="shared" si="5"/>
        <v>1</v>
      </c>
    </row>
    <row r="15" spans="1:25" customFormat="1" ht="12.75" x14ac:dyDescent="0.2">
      <c r="A15" s="345" t="s">
        <v>40</v>
      </c>
      <c r="B15" s="348" t="s">
        <v>41</v>
      </c>
      <c r="C15" s="345" t="s">
        <v>42</v>
      </c>
      <c r="D15" s="40" t="s">
        <v>43</v>
      </c>
      <c r="E15" s="363">
        <v>40</v>
      </c>
      <c r="F15" s="103">
        <v>40</v>
      </c>
      <c r="G15" s="103"/>
      <c r="H15" s="103">
        <f>F15+G15</f>
        <v>40</v>
      </c>
      <c r="I15" s="368">
        <f>ROUND(E15-H15,2)</f>
        <v>0</v>
      </c>
      <c r="J15" s="368">
        <v>356.75</v>
      </c>
      <c r="K15" s="41">
        <v>435.62</v>
      </c>
      <c r="L15" s="71">
        <f>TRUNC(E15*K15,2)</f>
        <v>17424.8</v>
      </c>
      <c r="M15" s="71">
        <f>ROUND(F15*$K15,2)</f>
        <v>17424.8</v>
      </c>
      <c r="N15" s="71">
        <f>ROUND(G15*$K15,2)</f>
        <v>0</v>
      </c>
      <c r="O15" s="71">
        <f>ROUND(H15*$K15,2)</f>
        <v>17424.8</v>
      </c>
      <c r="P15" s="71">
        <f>ROUND(I15*$K15,2)</f>
        <v>0</v>
      </c>
      <c r="Q15" s="71">
        <f t="shared" si="2"/>
        <v>0</v>
      </c>
      <c r="R15" s="71">
        <f t="shared" si="3"/>
        <v>100</v>
      </c>
      <c r="S15" s="39">
        <f t="shared" si="4"/>
        <v>0</v>
      </c>
      <c r="T15" s="34">
        <f t="shared" si="7"/>
        <v>17424.8</v>
      </c>
      <c r="Y15" s="237">
        <f t="shared" si="5"/>
        <v>1</v>
      </c>
    </row>
    <row r="16" spans="1:25" customFormat="1" ht="12.75" x14ac:dyDescent="0.2">
      <c r="A16" s="47" t="s">
        <v>44</v>
      </c>
      <c r="B16" s="48"/>
      <c r="C16" s="47" t="s">
        <v>45</v>
      </c>
      <c r="D16" s="49"/>
      <c r="E16" s="364" t="s">
        <v>46</v>
      </c>
      <c r="F16" s="365"/>
      <c r="G16" s="365"/>
      <c r="H16" s="365"/>
      <c r="I16" s="365"/>
      <c r="J16" s="50" t="s">
        <v>46</v>
      </c>
      <c r="K16" s="51"/>
      <c r="L16" s="73">
        <f>SUM(L17:L20)</f>
        <v>30835.65</v>
      </c>
      <c r="M16" s="73">
        <f t="shared" ref="M16:P16" si="8">SUM(M17:M20)</f>
        <v>29020.65</v>
      </c>
      <c r="N16" s="73">
        <f t="shared" si="8"/>
        <v>0</v>
      </c>
      <c r="O16" s="73">
        <f>SUM(O17:O20)</f>
        <v>29020.65</v>
      </c>
      <c r="P16" s="73">
        <f t="shared" si="8"/>
        <v>1815</v>
      </c>
      <c r="Q16" s="73">
        <f t="shared" si="2"/>
        <v>0</v>
      </c>
      <c r="R16" s="73">
        <f t="shared" si="3"/>
        <v>94.113955762242725</v>
      </c>
      <c r="S16" s="53">
        <f t="shared" si="4"/>
        <v>5.8860442377572708</v>
      </c>
      <c r="T16" s="34">
        <f t="shared" si="7"/>
        <v>29020.65</v>
      </c>
      <c r="Y16" s="237">
        <f t="shared" si="5"/>
        <v>0.94113955762242729</v>
      </c>
    </row>
    <row r="17" spans="1:25" customFormat="1" ht="25.5" x14ac:dyDescent="0.2">
      <c r="A17" s="345" t="s">
        <v>47</v>
      </c>
      <c r="B17" s="348" t="s">
        <v>48</v>
      </c>
      <c r="C17" s="345" t="s">
        <v>49</v>
      </c>
      <c r="D17" s="40" t="s">
        <v>43</v>
      </c>
      <c r="E17" s="363">
        <v>30</v>
      </c>
      <c r="F17" s="103">
        <v>30</v>
      </c>
      <c r="G17" s="103"/>
      <c r="H17" s="103">
        <f>F17+G17</f>
        <v>30</v>
      </c>
      <c r="I17" s="368">
        <f>ROUND(E17-H17,2)</f>
        <v>0</v>
      </c>
      <c r="J17" s="368">
        <v>448.11</v>
      </c>
      <c r="K17" s="41">
        <f t="shared" ref="K17:K20" si="9">TRUNC(J17*1.2211,2)</f>
        <v>547.17999999999995</v>
      </c>
      <c r="L17" s="71">
        <f>TRUNC(E17*K17,2)</f>
        <v>16415.400000000001</v>
      </c>
      <c r="M17" s="71">
        <f>ROUND(F17*$K17,2)</f>
        <v>16415.400000000001</v>
      </c>
      <c r="N17" s="71">
        <f>ROUND(G17*$K17,2)</f>
        <v>0</v>
      </c>
      <c r="O17" s="71">
        <f>ROUND(H17*$K17,2)</f>
        <v>16415.400000000001</v>
      </c>
      <c r="P17" s="71">
        <f>ROUND(I17*$K17,2)</f>
        <v>0</v>
      </c>
      <c r="Q17" s="71">
        <f t="shared" si="2"/>
        <v>0</v>
      </c>
      <c r="R17" s="71">
        <f t="shared" si="3"/>
        <v>100</v>
      </c>
      <c r="S17" s="39">
        <f t="shared" si="4"/>
        <v>0</v>
      </c>
      <c r="T17" s="34">
        <f t="shared" si="7"/>
        <v>16415.400000000001</v>
      </c>
      <c r="Y17" s="237">
        <f t="shared" si="5"/>
        <v>1</v>
      </c>
    </row>
    <row r="18" spans="1:25" s="150" customFormat="1" ht="25.5" x14ac:dyDescent="0.2">
      <c r="A18" s="345" t="s">
        <v>50</v>
      </c>
      <c r="B18" s="348" t="s">
        <v>51</v>
      </c>
      <c r="C18" s="345" t="s">
        <v>52</v>
      </c>
      <c r="D18" s="40" t="s">
        <v>53</v>
      </c>
      <c r="E18" s="143">
        <v>45</v>
      </c>
      <c r="F18" s="144">
        <v>45</v>
      </c>
      <c r="G18" s="144"/>
      <c r="H18" s="144">
        <f t="shared" ref="H18:H20" si="10">F18+G18</f>
        <v>45</v>
      </c>
      <c r="I18" s="145">
        <f t="shared" ref="I18:I20" si="11">ROUND(E18-H18,2)</f>
        <v>0</v>
      </c>
      <c r="J18" s="145">
        <v>180.54</v>
      </c>
      <c r="K18" s="146">
        <f t="shared" si="9"/>
        <v>220.45</v>
      </c>
      <c r="L18" s="147">
        <f>TRUNC(E18*K18,2)</f>
        <v>9920.25</v>
      </c>
      <c r="M18" s="147">
        <f t="shared" ref="M18:M20" si="12">ROUND(F18*$K18,2)</f>
        <v>9920.25</v>
      </c>
      <c r="N18" s="147">
        <f t="shared" ref="N18:N20" si="13">ROUND(G18*$K18,2)</f>
        <v>0</v>
      </c>
      <c r="O18" s="147">
        <f t="shared" ref="O18:O20" si="14">ROUND(H18*$K18,2)</f>
        <v>9920.25</v>
      </c>
      <c r="P18" s="147">
        <f t="shared" ref="P18:P22" si="15">ROUND(I18*$K18,2)</f>
        <v>0</v>
      </c>
      <c r="Q18" s="147">
        <f t="shared" si="2"/>
        <v>0</v>
      </c>
      <c r="R18" s="147">
        <f t="shared" si="3"/>
        <v>100</v>
      </c>
      <c r="S18" s="148">
        <f t="shared" si="4"/>
        <v>0</v>
      </c>
      <c r="T18" s="133">
        <f t="shared" si="7"/>
        <v>9920.25</v>
      </c>
      <c r="Y18" s="237">
        <f t="shared" si="5"/>
        <v>1</v>
      </c>
    </row>
    <row r="19" spans="1:25" s="134" customFormat="1" ht="12.75" x14ac:dyDescent="0.2">
      <c r="A19" s="345" t="s">
        <v>54</v>
      </c>
      <c r="B19" s="348" t="s">
        <v>55</v>
      </c>
      <c r="C19" s="345" t="s">
        <v>56</v>
      </c>
      <c r="D19" s="40" t="s">
        <v>57</v>
      </c>
      <c r="E19" s="143">
        <v>500</v>
      </c>
      <c r="F19" s="144">
        <v>500</v>
      </c>
      <c r="G19" s="144"/>
      <c r="H19" s="144">
        <f t="shared" si="10"/>
        <v>500</v>
      </c>
      <c r="I19" s="145">
        <f t="shared" si="11"/>
        <v>0</v>
      </c>
      <c r="J19" s="145">
        <v>4.4000000000000004</v>
      </c>
      <c r="K19" s="146">
        <f t="shared" si="9"/>
        <v>5.37</v>
      </c>
      <c r="L19" s="147">
        <f>TRUNC(E19*K19,2)</f>
        <v>2685</v>
      </c>
      <c r="M19" s="147">
        <f t="shared" si="12"/>
        <v>2685</v>
      </c>
      <c r="N19" s="147">
        <f t="shared" si="13"/>
        <v>0</v>
      </c>
      <c r="O19" s="147">
        <f t="shared" si="14"/>
        <v>2685</v>
      </c>
      <c r="P19" s="147">
        <f t="shared" si="15"/>
        <v>0</v>
      </c>
      <c r="Q19" s="147">
        <f t="shared" si="2"/>
        <v>0</v>
      </c>
      <c r="R19" s="147">
        <f t="shared" si="3"/>
        <v>100</v>
      </c>
      <c r="S19" s="148">
        <f t="shared" si="4"/>
        <v>0</v>
      </c>
      <c r="T19" s="133">
        <f t="shared" si="7"/>
        <v>2685</v>
      </c>
      <c r="Y19" s="237">
        <f t="shared" si="5"/>
        <v>1</v>
      </c>
    </row>
    <row r="20" spans="1:25" customFormat="1" ht="25.5" x14ac:dyDescent="0.2">
      <c r="A20" s="345" t="s">
        <v>59</v>
      </c>
      <c r="B20" s="348" t="s">
        <v>60</v>
      </c>
      <c r="C20" s="345" t="s">
        <v>61</v>
      </c>
      <c r="D20" s="40" t="s">
        <v>57</v>
      </c>
      <c r="E20" s="363">
        <v>500</v>
      </c>
      <c r="F20" s="103">
        <v>0</v>
      </c>
      <c r="G20" s="103"/>
      <c r="H20" s="103">
        <f t="shared" si="10"/>
        <v>0</v>
      </c>
      <c r="I20" s="368">
        <f t="shared" si="11"/>
        <v>500</v>
      </c>
      <c r="J20" s="368">
        <v>2.98</v>
      </c>
      <c r="K20" s="41">
        <f t="shared" si="9"/>
        <v>3.63</v>
      </c>
      <c r="L20" s="71">
        <f>TRUNC(E20*K20,2)</f>
        <v>1815</v>
      </c>
      <c r="M20" s="71">
        <f t="shared" si="12"/>
        <v>0</v>
      </c>
      <c r="N20" s="71">
        <f t="shared" si="13"/>
        <v>0</v>
      </c>
      <c r="O20" s="71">
        <f t="shared" si="14"/>
        <v>0</v>
      </c>
      <c r="P20" s="71">
        <f t="shared" si="15"/>
        <v>1815</v>
      </c>
      <c r="Q20" s="71">
        <f t="shared" si="2"/>
        <v>0</v>
      </c>
      <c r="R20" s="71">
        <f t="shared" si="3"/>
        <v>0</v>
      </c>
      <c r="S20" s="39">
        <f t="shared" si="4"/>
        <v>100</v>
      </c>
      <c r="T20" s="34">
        <f t="shared" si="7"/>
        <v>0</v>
      </c>
      <c r="Y20" s="237">
        <f t="shared" si="5"/>
        <v>0</v>
      </c>
    </row>
    <row r="21" spans="1:25" customFormat="1" ht="12.75" x14ac:dyDescent="0.2">
      <c r="A21" s="47" t="s">
        <v>62</v>
      </c>
      <c r="B21" s="48"/>
      <c r="C21" s="47" t="s">
        <v>63</v>
      </c>
      <c r="D21" s="49"/>
      <c r="E21" s="364" t="s">
        <v>46</v>
      </c>
      <c r="F21" s="365"/>
      <c r="G21" s="365"/>
      <c r="H21" s="365"/>
      <c r="I21" s="365"/>
      <c r="J21" s="50" t="s">
        <v>46</v>
      </c>
      <c r="K21" s="51"/>
      <c r="L21" s="52">
        <f>L22</f>
        <v>7690.67</v>
      </c>
      <c r="M21" s="73">
        <f t="shared" ref="M21:P21" si="16">M22</f>
        <v>0</v>
      </c>
      <c r="N21" s="73">
        <f t="shared" si="16"/>
        <v>0</v>
      </c>
      <c r="O21" s="73">
        <f t="shared" si="16"/>
        <v>0</v>
      </c>
      <c r="P21" s="73">
        <f t="shared" si="16"/>
        <v>7690.67</v>
      </c>
      <c r="Q21" s="73">
        <f t="shared" si="2"/>
        <v>0</v>
      </c>
      <c r="R21" s="73">
        <f t="shared" si="3"/>
        <v>0</v>
      </c>
      <c r="S21" s="53">
        <f t="shared" si="4"/>
        <v>100</v>
      </c>
      <c r="T21" s="34">
        <f t="shared" si="7"/>
        <v>0</v>
      </c>
      <c r="Y21" s="237">
        <f t="shared" si="5"/>
        <v>0</v>
      </c>
    </row>
    <row r="22" spans="1:25" customFormat="1" ht="12.75" x14ac:dyDescent="0.2">
      <c r="A22" s="345" t="s">
        <v>64</v>
      </c>
      <c r="B22" s="348" t="s">
        <v>65</v>
      </c>
      <c r="C22" s="345" t="s">
        <v>66</v>
      </c>
      <c r="D22" s="40" t="s">
        <v>53</v>
      </c>
      <c r="E22" s="363">
        <v>13</v>
      </c>
      <c r="F22" s="103">
        <v>0</v>
      </c>
      <c r="G22" s="103"/>
      <c r="H22" s="103">
        <f t="shared" ref="H22" si="17">F22+G22</f>
        <v>0</v>
      </c>
      <c r="I22" s="368">
        <f t="shared" ref="I22" si="18">ROUND(E22-H22,2)</f>
        <v>13</v>
      </c>
      <c r="J22" s="368">
        <v>484.48</v>
      </c>
      <c r="K22" s="41">
        <f>TRUNC(J22*1.2211,2)</f>
        <v>591.59</v>
      </c>
      <c r="L22" s="41">
        <f>TRUNC(E22*K22,2)</f>
        <v>7690.67</v>
      </c>
      <c r="M22" s="71">
        <f t="shared" ref="M22" si="19">ROUND(F22*$K22,2)</f>
        <v>0</v>
      </c>
      <c r="N22" s="71">
        <f t="shared" ref="N22" si="20">ROUND(G22*$K22,2)</f>
        <v>0</v>
      </c>
      <c r="O22" s="71">
        <f t="shared" ref="O22" si="21">ROUND(H22*$K22,2)</f>
        <v>0</v>
      </c>
      <c r="P22" s="71">
        <f t="shared" si="15"/>
        <v>7690.67</v>
      </c>
      <c r="Q22" s="71">
        <f t="shared" si="2"/>
        <v>0</v>
      </c>
      <c r="R22" s="71">
        <f t="shared" si="3"/>
        <v>0</v>
      </c>
      <c r="S22" s="39">
        <f t="shared" si="4"/>
        <v>100</v>
      </c>
      <c r="T22" s="34">
        <f t="shared" si="7"/>
        <v>0</v>
      </c>
      <c r="Y22" s="237">
        <f t="shared" si="5"/>
        <v>0</v>
      </c>
    </row>
    <row r="23" spans="1:25" s="134" customFormat="1" ht="12.75" x14ac:dyDescent="0.2">
      <c r="A23" s="54" t="s">
        <v>67</v>
      </c>
      <c r="B23" s="125"/>
      <c r="C23" s="54" t="s">
        <v>68</v>
      </c>
      <c r="D23" s="126"/>
      <c r="E23" s="127" t="s">
        <v>46</v>
      </c>
      <c r="F23" s="128"/>
      <c r="G23" s="128"/>
      <c r="H23" s="128"/>
      <c r="I23" s="128"/>
      <c r="J23" s="129" t="s">
        <v>46</v>
      </c>
      <c r="K23" s="130"/>
      <c r="L23" s="131">
        <f>L24+L27+L32+L34+L40+L46</f>
        <v>160840.31</v>
      </c>
      <c r="M23" s="131">
        <f t="shared" ref="M23:P23" si="22">M24+M27+M32+M34+M40+M46</f>
        <v>160840.31</v>
      </c>
      <c r="N23" s="131">
        <f t="shared" si="22"/>
        <v>0</v>
      </c>
      <c r="O23" s="131">
        <f t="shared" si="22"/>
        <v>160840.31</v>
      </c>
      <c r="P23" s="131">
        <f t="shared" si="22"/>
        <v>0</v>
      </c>
      <c r="Q23" s="131">
        <f t="shared" ref="Q23:Q86" si="23">N23/L23*100</f>
        <v>0</v>
      </c>
      <c r="R23" s="131">
        <f t="shared" ref="R23:R86" si="24">O23/L23*100</f>
        <v>100</v>
      </c>
      <c r="S23" s="132">
        <f t="shared" ref="S23:S86" si="25">P23/L23*100</f>
        <v>0</v>
      </c>
      <c r="T23" s="133">
        <f t="shared" si="7"/>
        <v>160840.31</v>
      </c>
      <c r="Y23" s="237">
        <f t="shared" si="5"/>
        <v>1</v>
      </c>
    </row>
    <row r="24" spans="1:25" s="134" customFormat="1" ht="12.75" x14ac:dyDescent="0.2">
      <c r="A24" s="47" t="s">
        <v>69</v>
      </c>
      <c r="B24" s="135"/>
      <c r="C24" s="47" t="s">
        <v>70</v>
      </c>
      <c r="D24" s="136"/>
      <c r="E24" s="137" t="s">
        <v>46</v>
      </c>
      <c r="F24" s="138"/>
      <c r="G24" s="138"/>
      <c r="H24" s="138"/>
      <c r="I24" s="138"/>
      <c r="J24" s="139" t="s">
        <v>46</v>
      </c>
      <c r="K24" s="140"/>
      <c r="L24" s="141">
        <f>L25+L26</f>
        <v>19795</v>
      </c>
      <c r="M24" s="141">
        <f t="shared" ref="M24:P24" si="26">M25+M26</f>
        <v>19795</v>
      </c>
      <c r="N24" s="141">
        <f t="shared" si="26"/>
        <v>0</v>
      </c>
      <c r="O24" s="141">
        <f t="shared" si="26"/>
        <v>19795</v>
      </c>
      <c r="P24" s="141">
        <f t="shared" si="26"/>
        <v>0</v>
      </c>
      <c r="Q24" s="141">
        <f t="shared" si="23"/>
        <v>0</v>
      </c>
      <c r="R24" s="141">
        <f t="shared" si="24"/>
        <v>100</v>
      </c>
      <c r="S24" s="142">
        <f t="shared" si="25"/>
        <v>0</v>
      </c>
      <c r="T24" s="133">
        <f t="shared" si="7"/>
        <v>19795</v>
      </c>
      <c r="Y24" s="237">
        <f t="shared" si="5"/>
        <v>1</v>
      </c>
    </row>
    <row r="25" spans="1:25" s="134" customFormat="1" ht="25.5" x14ac:dyDescent="0.2">
      <c r="A25" s="345" t="s">
        <v>71</v>
      </c>
      <c r="B25" s="348" t="s">
        <v>72</v>
      </c>
      <c r="C25" s="345" t="s">
        <v>73</v>
      </c>
      <c r="D25" s="40" t="s">
        <v>43</v>
      </c>
      <c r="E25" s="143">
        <v>5000</v>
      </c>
      <c r="F25" s="144">
        <v>5000</v>
      </c>
      <c r="G25" s="145"/>
      <c r="H25" s="144">
        <f t="shared" ref="H25" si="27">F25+G25</f>
        <v>5000</v>
      </c>
      <c r="I25" s="145">
        <f t="shared" ref="I25" si="28">ROUND(E25-H25,2)</f>
        <v>0</v>
      </c>
      <c r="J25" s="145">
        <v>3.07</v>
      </c>
      <c r="K25" s="146">
        <f t="shared" ref="K25:K26" si="29">TRUNC(J25*1.2211,2)</f>
        <v>3.74</v>
      </c>
      <c r="L25" s="146">
        <f>TRUNC(E25*K25,2)</f>
        <v>18700</v>
      </c>
      <c r="M25" s="147">
        <f t="shared" ref="M25" si="30">ROUND(F25*$K25,2)</f>
        <v>18700</v>
      </c>
      <c r="N25" s="147">
        <f t="shared" ref="N25" si="31">ROUND(G25*$K25,2)</f>
        <v>0</v>
      </c>
      <c r="O25" s="147">
        <f t="shared" ref="O25" si="32">ROUND(H25*$K25,2)</f>
        <v>18700</v>
      </c>
      <c r="P25" s="147">
        <f t="shared" ref="P25:P48" si="33">ROUND(I25*$K25,2)</f>
        <v>0</v>
      </c>
      <c r="Q25" s="147">
        <f t="shared" si="23"/>
        <v>0</v>
      </c>
      <c r="R25" s="147">
        <f t="shared" si="24"/>
        <v>100</v>
      </c>
      <c r="S25" s="148">
        <f t="shared" si="25"/>
        <v>0</v>
      </c>
      <c r="T25" s="133">
        <f t="shared" si="7"/>
        <v>18700</v>
      </c>
      <c r="V25" s="134">
        <f>(E25/180)*41</f>
        <v>1138.8888888888889</v>
      </c>
      <c r="Y25" s="237">
        <f t="shared" si="5"/>
        <v>1</v>
      </c>
    </row>
    <row r="26" spans="1:25" s="134" customFormat="1" ht="25.5" x14ac:dyDescent="0.2">
      <c r="A26" s="345" t="s">
        <v>74</v>
      </c>
      <c r="B26" s="348" t="s">
        <v>75</v>
      </c>
      <c r="C26" s="345" t="s">
        <v>76</v>
      </c>
      <c r="D26" s="40" t="s">
        <v>77</v>
      </c>
      <c r="E26" s="143">
        <v>500</v>
      </c>
      <c r="F26" s="144">
        <v>500</v>
      </c>
      <c r="G26" s="145"/>
      <c r="H26" s="144">
        <f t="shared" ref="H26" si="34">F26+G26</f>
        <v>500</v>
      </c>
      <c r="I26" s="145">
        <f t="shared" ref="I26" si="35">ROUND(E26-H26,2)</f>
        <v>0</v>
      </c>
      <c r="J26" s="145">
        <v>1.8</v>
      </c>
      <c r="K26" s="146">
        <f t="shared" si="29"/>
        <v>2.19</v>
      </c>
      <c r="L26" s="146">
        <f>TRUNC(E26*K26,2)</f>
        <v>1095</v>
      </c>
      <c r="M26" s="147">
        <f t="shared" ref="M26" si="36">ROUND(F26*$K26,2)</f>
        <v>1095</v>
      </c>
      <c r="N26" s="147">
        <f t="shared" ref="N26" si="37">ROUND(G26*$K26,2)</f>
        <v>0</v>
      </c>
      <c r="O26" s="147">
        <f t="shared" ref="O26" si="38">ROUND(H26*$K26,2)</f>
        <v>1095</v>
      </c>
      <c r="P26" s="147">
        <f t="shared" si="33"/>
        <v>0</v>
      </c>
      <c r="Q26" s="147">
        <f t="shared" si="23"/>
        <v>0</v>
      </c>
      <c r="R26" s="147">
        <f t="shared" si="24"/>
        <v>100</v>
      </c>
      <c r="S26" s="148">
        <f t="shared" si="25"/>
        <v>0</v>
      </c>
      <c r="T26" s="133">
        <f t="shared" si="7"/>
        <v>1095</v>
      </c>
      <c r="V26" s="134">
        <f>(E26/180)*41</f>
        <v>113.88888888888889</v>
      </c>
      <c r="Y26" s="237">
        <f t="shared" si="5"/>
        <v>1</v>
      </c>
    </row>
    <row r="27" spans="1:25" s="134" customFormat="1" ht="12.75" x14ac:dyDescent="0.2">
      <c r="A27" s="47" t="s">
        <v>78</v>
      </c>
      <c r="B27" s="135"/>
      <c r="C27" s="47" t="s">
        <v>79</v>
      </c>
      <c r="D27" s="136"/>
      <c r="E27" s="137" t="s">
        <v>46</v>
      </c>
      <c r="F27" s="138"/>
      <c r="G27" s="138"/>
      <c r="H27" s="138"/>
      <c r="I27" s="138"/>
      <c r="J27" s="139" t="s">
        <v>46</v>
      </c>
      <c r="K27" s="140"/>
      <c r="L27" s="141">
        <f>SUM(L28:L31)</f>
        <v>2275.1600000000003</v>
      </c>
      <c r="M27" s="141">
        <f t="shared" ref="M27:P27" si="39">SUM(M28:M31)</f>
        <v>2275.1600000000003</v>
      </c>
      <c r="N27" s="141">
        <f t="shared" si="39"/>
        <v>0</v>
      </c>
      <c r="O27" s="141">
        <f t="shared" si="39"/>
        <v>2275.1600000000003</v>
      </c>
      <c r="P27" s="141">
        <f t="shared" si="39"/>
        <v>0</v>
      </c>
      <c r="Q27" s="141">
        <f t="shared" si="23"/>
        <v>0</v>
      </c>
      <c r="R27" s="141">
        <f t="shared" si="24"/>
        <v>100</v>
      </c>
      <c r="S27" s="142">
        <f t="shared" si="25"/>
        <v>0</v>
      </c>
      <c r="T27" s="133">
        <f t="shared" si="7"/>
        <v>2275.1600000000003</v>
      </c>
      <c r="V27" s="134" t="e">
        <f t="shared" ref="V27:V48" si="40">(E27/180)*41</f>
        <v>#VALUE!</v>
      </c>
      <c r="Y27" s="237">
        <f t="shared" si="5"/>
        <v>1</v>
      </c>
    </row>
    <row r="28" spans="1:25" s="134" customFormat="1" ht="25.5" x14ac:dyDescent="0.2">
      <c r="A28" s="345" t="s">
        <v>80</v>
      </c>
      <c r="B28" s="348" t="s">
        <v>81</v>
      </c>
      <c r="C28" s="345" t="s">
        <v>82</v>
      </c>
      <c r="D28" s="40" t="s">
        <v>77</v>
      </c>
      <c r="E28" s="143">
        <v>90</v>
      </c>
      <c r="F28" s="144">
        <v>90</v>
      </c>
      <c r="G28" s="145"/>
      <c r="H28" s="144">
        <f t="shared" ref="H28" si="41">F28+G28</f>
        <v>90</v>
      </c>
      <c r="I28" s="145">
        <f t="shared" ref="I28" si="42">ROUND(E28-H28,2)</f>
        <v>0</v>
      </c>
      <c r="J28" s="145">
        <v>6.65</v>
      </c>
      <c r="K28" s="146">
        <f t="shared" ref="K28:K31" si="43">TRUNC(J28*1.2211,2)</f>
        <v>8.1199999999999992</v>
      </c>
      <c r="L28" s="146">
        <f>TRUNC(E28*K28,2)</f>
        <v>730.8</v>
      </c>
      <c r="M28" s="147">
        <f t="shared" ref="M28" si="44">ROUND(F28*$K28,2)</f>
        <v>730.8</v>
      </c>
      <c r="N28" s="147">
        <f t="shared" ref="N28" si="45">ROUND(G28*$K28,2)</f>
        <v>0</v>
      </c>
      <c r="O28" s="147">
        <f t="shared" ref="O28" si="46">ROUND(H28*$K28,2)</f>
        <v>730.8</v>
      </c>
      <c r="P28" s="147">
        <f t="shared" si="33"/>
        <v>0</v>
      </c>
      <c r="Q28" s="147">
        <f t="shared" si="23"/>
        <v>0</v>
      </c>
      <c r="R28" s="147">
        <f t="shared" si="24"/>
        <v>100</v>
      </c>
      <c r="S28" s="148">
        <f t="shared" si="25"/>
        <v>0</v>
      </c>
      <c r="T28" s="133">
        <f t="shared" si="7"/>
        <v>730.8</v>
      </c>
      <c r="V28" s="134">
        <f t="shared" si="40"/>
        <v>20.5</v>
      </c>
      <c r="Y28" s="237">
        <f t="shared" si="5"/>
        <v>1</v>
      </c>
    </row>
    <row r="29" spans="1:25" s="134" customFormat="1" ht="25.5" x14ac:dyDescent="0.2">
      <c r="A29" s="345" t="s">
        <v>83</v>
      </c>
      <c r="B29" s="348">
        <v>5914359</v>
      </c>
      <c r="C29" s="345" t="s">
        <v>84</v>
      </c>
      <c r="D29" s="40" t="s">
        <v>85</v>
      </c>
      <c r="E29" s="143">
        <v>608</v>
      </c>
      <c r="F29" s="144">
        <v>608</v>
      </c>
      <c r="G29" s="145"/>
      <c r="H29" s="144">
        <f t="shared" ref="H29:H31" si="47">F29+G29</f>
        <v>608</v>
      </c>
      <c r="I29" s="145">
        <f t="shared" ref="I29:I31" si="48">ROUND(E29-H29,2)</f>
        <v>0</v>
      </c>
      <c r="J29" s="145">
        <v>1.24</v>
      </c>
      <c r="K29" s="146">
        <f t="shared" si="43"/>
        <v>1.51</v>
      </c>
      <c r="L29" s="146">
        <f>TRUNC(E29*K29,2)</f>
        <v>918.08</v>
      </c>
      <c r="M29" s="147">
        <f t="shared" ref="M29:M31" si="49">ROUND(F29*$K29,2)</f>
        <v>918.08</v>
      </c>
      <c r="N29" s="147">
        <f t="shared" ref="N29:N31" si="50">ROUND(G29*$K29,2)</f>
        <v>0</v>
      </c>
      <c r="O29" s="147">
        <f t="shared" ref="O29:O31" si="51">ROUND(H29*$K29,2)</f>
        <v>918.08</v>
      </c>
      <c r="P29" s="147">
        <f t="shared" si="33"/>
        <v>0</v>
      </c>
      <c r="Q29" s="147">
        <f t="shared" si="23"/>
        <v>0</v>
      </c>
      <c r="R29" s="147">
        <f t="shared" si="24"/>
        <v>100</v>
      </c>
      <c r="S29" s="148">
        <f t="shared" si="25"/>
        <v>0</v>
      </c>
      <c r="T29" s="133">
        <f t="shared" si="7"/>
        <v>918.08</v>
      </c>
      <c r="V29" s="134">
        <f t="shared" si="40"/>
        <v>138.48888888888888</v>
      </c>
      <c r="Y29" s="237">
        <f t="shared" si="5"/>
        <v>1</v>
      </c>
    </row>
    <row r="30" spans="1:25" s="134" customFormat="1" ht="25.5" x14ac:dyDescent="0.2">
      <c r="A30" s="345" t="s">
        <v>86</v>
      </c>
      <c r="B30" s="348"/>
      <c r="C30" s="345" t="s">
        <v>87</v>
      </c>
      <c r="D30" s="40" t="s">
        <v>85</v>
      </c>
      <c r="E30" s="143">
        <v>426</v>
      </c>
      <c r="F30" s="144">
        <v>426</v>
      </c>
      <c r="G30" s="145"/>
      <c r="H30" s="144">
        <f t="shared" si="47"/>
        <v>426</v>
      </c>
      <c r="I30" s="145">
        <f t="shared" si="48"/>
        <v>0</v>
      </c>
      <c r="J30" s="145">
        <v>0.81</v>
      </c>
      <c r="K30" s="146">
        <f t="shared" si="43"/>
        <v>0.98</v>
      </c>
      <c r="L30" s="146">
        <f>TRUNC(E30*K30,2)</f>
        <v>417.48</v>
      </c>
      <c r="M30" s="147">
        <f t="shared" si="49"/>
        <v>417.48</v>
      </c>
      <c r="N30" s="147">
        <f t="shared" si="50"/>
        <v>0</v>
      </c>
      <c r="O30" s="147">
        <f t="shared" si="51"/>
        <v>417.48</v>
      </c>
      <c r="P30" s="147">
        <f t="shared" si="33"/>
        <v>0</v>
      </c>
      <c r="Q30" s="147">
        <f t="shared" si="23"/>
        <v>0</v>
      </c>
      <c r="R30" s="147">
        <f t="shared" si="24"/>
        <v>100</v>
      </c>
      <c r="S30" s="148">
        <f t="shared" si="25"/>
        <v>0</v>
      </c>
      <c r="T30" s="133">
        <f t="shared" si="7"/>
        <v>417.48</v>
      </c>
      <c r="V30" s="134">
        <f t="shared" si="40"/>
        <v>97.033333333333331</v>
      </c>
      <c r="Y30" s="237">
        <f t="shared" si="5"/>
        <v>1</v>
      </c>
    </row>
    <row r="31" spans="1:25" s="134" customFormat="1" ht="12.75" x14ac:dyDescent="0.2">
      <c r="A31" s="345" t="s">
        <v>88</v>
      </c>
      <c r="B31" s="348" t="s">
        <v>89</v>
      </c>
      <c r="C31" s="345" t="s">
        <v>90</v>
      </c>
      <c r="D31" s="40" t="s">
        <v>77</v>
      </c>
      <c r="E31" s="143">
        <v>72</v>
      </c>
      <c r="F31" s="144">
        <v>72</v>
      </c>
      <c r="G31" s="145"/>
      <c r="H31" s="144">
        <f t="shared" si="47"/>
        <v>72</v>
      </c>
      <c r="I31" s="145">
        <f t="shared" si="48"/>
        <v>0</v>
      </c>
      <c r="J31" s="145">
        <v>2.38</v>
      </c>
      <c r="K31" s="146">
        <f t="shared" si="43"/>
        <v>2.9</v>
      </c>
      <c r="L31" s="146">
        <f>TRUNC(E31*K31,2)</f>
        <v>208.8</v>
      </c>
      <c r="M31" s="147">
        <f t="shared" si="49"/>
        <v>208.8</v>
      </c>
      <c r="N31" s="147">
        <f t="shared" si="50"/>
        <v>0</v>
      </c>
      <c r="O31" s="147">
        <f t="shared" si="51"/>
        <v>208.8</v>
      </c>
      <c r="P31" s="147">
        <f t="shared" si="33"/>
        <v>0</v>
      </c>
      <c r="Q31" s="147">
        <f t="shared" si="23"/>
        <v>0</v>
      </c>
      <c r="R31" s="147">
        <f t="shared" si="24"/>
        <v>100</v>
      </c>
      <c r="S31" s="148">
        <f t="shared" si="25"/>
        <v>0</v>
      </c>
      <c r="T31" s="133">
        <f t="shared" si="7"/>
        <v>208.8</v>
      </c>
      <c r="V31" s="134">
        <f t="shared" si="40"/>
        <v>16.400000000000002</v>
      </c>
      <c r="Y31" s="237">
        <f t="shared" si="5"/>
        <v>1</v>
      </c>
    </row>
    <row r="32" spans="1:25" s="134" customFormat="1" ht="12.75" x14ac:dyDescent="0.2">
      <c r="A32" s="47" t="s">
        <v>91</v>
      </c>
      <c r="B32" s="135"/>
      <c r="C32" s="47" t="s">
        <v>92</v>
      </c>
      <c r="D32" s="136"/>
      <c r="E32" s="137" t="s">
        <v>46</v>
      </c>
      <c r="F32" s="138"/>
      <c r="G32" s="138"/>
      <c r="H32" s="138"/>
      <c r="I32" s="138"/>
      <c r="J32" s="139" t="s">
        <v>46</v>
      </c>
      <c r="K32" s="140"/>
      <c r="L32" s="149">
        <f>L33</f>
        <v>48696</v>
      </c>
      <c r="M32" s="141">
        <f t="shared" ref="M32:P32" si="52">M33</f>
        <v>48696</v>
      </c>
      <c r="N32" s="141">
        <f t="shared" si="52"/>
        <v>0</v>
      </c>
      <c r="O32" s="141">
        <f t="shared" si="52"/>
        <v>48696</v>
      </c>
      <c r="P32" s="141">
        <f t="shared" si="52"/>
        <v>0</v>
      </c>
      <c r="Q32" s="141">
        <f t="shared" si="23"/>
        <v>0</v>
      </c>
      <c r="R32" s="141">
        <f t="shared" si="24"/>
        <v>100</v>
      </c>
      <c r="S32" s="142">
        <f t="shared" si="25"/>
        <v>0</v>
      </c>
      <c r="T32" s="133">
        <f t="shared" si="7"/>
        <v>48696</v>
      </c>
      <c r="V32" s="134" t="e">
        <f t="shared" si="40"/>
        <v>#VALUE!</v>
      </c>
      <c r="Y32" s="237">
        <f t="shared" si="5"/>
        <v>1</v>
      </c>
    </row>
    <row r="33" spans="1:25" s="134" customFormat="1" ht="12.75" x14ac:dyDescent="0.2">
      <c r="A33" s="345" t="s">
        <v>93</v>
      </c>
      <c r="B33" s="348" t="s">
        <v>94</v>
      </c>
      <c r="C33" s="345" t="s">
        <v>95</v>
      </c>
      <c r="D33" s="40" t="s">
        <v>43</v>
      </c>
      <c r="E33" s="143">
        <v>600</v>
      </c>
      <c r="F33" s="144">
        <v>600</v>
      </c>
      <c r="G33" s="145"/>
      <c r="H33" s="144">
        <f t="shared" ref="H33" si="53">F33+G33</f>
        <v>600</v>
      </c>
      <c r="I33" s="145">
        <f t="shared" ref="I33" si="54">ROUND(E33-H33,2)</f>
        <v>0</v>
      </c>
      <c r="J33" s="145">
        <v>66.47</v>
      </c>
      <c r="K33" s="146">
        <f>TRUNC(J33*1.2211,2)</f>
        <v>81.16</v>
      </c>
      <c r="L33" s="146">
        <f>TRUNC(E33*K33,2)</f>
        <v>48696</v>
      </c>
      <c r="M33" s="147">
        <f t="shared" ref="M33" si="55">ROUND(F33*$K33,2)</f>
        <v>48696</v>
      </c>
      <c r="N33" s="147">
        <f t="shared" ref="N33" si="56">ROUND(G33*$K33,2)</f>
        <v>0</v>
      </c>
      <c r="O33" s="147">
        <f t="shared" ref="O33" si="57">ROUND(H33*$K33,2)</f>
        <v>48696</v>
      </c>
      <c r="P33" s="147">
        <f t="shared" si="33"/>
        <v>0</v>
      </c>
      <c r="Q33" s="147">
        <f t="shared" si="23"/>
        <v>0</v>
      </c>
      <c r="R33" s="147">
        <f t="shared" si="24"/>
        <v>100</v>
      </c>
      <c r="S33" s="148">
        <f t="shared" si="25"/>
        <v>0</v>
      </c>
      <c r="T33" s="133">
        <f t="shared" si="7"/>
        <v>48696</v>
      </c>
      <c r="V33" s="134">
        <f t="shared" si="40"/>
        <v>136.66666666666669</v>
      </c>
      <c r="Y33" s="237">
        <f t="shared" si="5"/>
        <v>1</v>
      </c>
    </row>
    <row r="34" spans="1:25" s="134" customFormat="1" ht="12.75" x14ac:dyDescent="0.2">
      <c r="A34" s="47" t="s">
        <v>96</v>
      </c>
      <c r="B34" s="135"/>
      <c r="C34" s="47" t="s">
        <v>97</v>
      </c>
      <c r="D34" s="136"/>
      <c r="E34" s="137" t="s">
        <v>46</v>
      </c>
      <c r="F34" s="138"/>
      <c r="G34" s="138"/>
      <c r="H34" s="138"/>
      <c r="I34" s="138"/>
      <c r="J34" s="139" t="s">
        <v>46</v>
      </c>
      <c r="K34" s="140"/>
      <c r="L34" s="149">
        <f>SUM(L35:L39)</f>
        <v>51935.06</v>
      </c>
      <c r="M34" s="149">
        <f t="shared" ref="M34:P34" si="58">SUM(M35:M39)</f>
        <v>51935.06</v>
      </c>
      <c r="N34" s="149">
        <f t="shared" si="58"/>
        <v>0</v>
      </c>
      <c r="O34" s="149">
        <f t="shared" si="58"/>
        <v>51935.06</v>
      </c>
      <c r="P34" s="149">
        <f t="shared" si="58"/>
        <v>0</v>
      </c>
      <c r="Q34" s="149">
        <f t="shared" si="23"/>
        <v>0</v>
      </c>
      <c r="R34" s="149">
        <f t="shared" si="24"/>
        <v>100</v>
      </c>
      <c r="S34" s="142">
        <f t="shared" si="25"/>
        <v>0</v>
      </c>
      <c r="T34" s="133">
        <f t="shared" si="7"/>
        <v>51935.06</v>
      </c>
      <c r="V34" s="134" t="e">
        <f t="shared" si="40"/>
        <v>#VALUE!</v>
      </c>
      <c r="Y34" s="237">
        <f t="shared" si="5"/>
        <v>1</v>
      </c>
    </row>
    <row r="35" spans="1:25" s="134" customFormat="1" ht="12.75" x14ac:dyDescent="0.2">
      <c r="A35" s="345" t="s">
        <v>98</v>
      </c>
      <c r="B35" s="348" t="s">
        <v>99</v>
      </c>
      <c r="C35" s="345" t="s">
        <v>100</v>
      </c>
      <c r="D35" s="40" t="s">
        <v>53</v>
      </c>
      <c r="E35" s="143">
        <v>1</v>
      </c>
      <c r="F35" s="144">
        <v>1</v>
      </c>
      <c r="G35" s="145"/>
      <c r="H35" s="144">
        <f t="shared" ref="H35" si="59">F35+G35</f>
        <v>1</v>
      </c>
      <c r="I35" s="145">
        <f t="shared" ref="I35" si="60">ROUND(E35-H35,2)</f>
        <v>0</v>
      </c>
      <c r="J35" s="145">
        <v>10595.85</v>
      </c>
      <c r="K35" s="146">
        <f t="shared" ref="K35:K39" si="61">TRUNC(J35*1.2211,2)</f>
        <v>12938.59</v>
      </c>
      <c r="L35" s="146">
        <f>TRUNC(E35*K35,2)</f>
        <v>12938.59</v>
      </c>
      <c r="M35" s="147">
        <f t="shared" ref="M35" si="62">ROUND(F35*$K35,2)</f>
        <v>12938.59</v>
      </c>
      <c r="N35" s="147">
        <f t="shared" ref="N35" si="63">ROUND(G35*$K35,2)</f>
        <v>0</v>
      </c>
      <c r="O35" s="147">
        <f t="shared" ref="O35" si="64">ROUND(H35*$K35,2)</f>
        <v>12938.59</v>
      </c>
      <c r="P35" s="147">
        <f t="shared" si="33"/>
        <v>0</v>
      </c>
      <c r="Q35" s="147">
        <f t="shared" si="23"/>
        <v>0</v>
      </c>
      <c r="R35" s="147">
        <f t="shared" si="24"/>
        <v>100</v>
      </c>
      <c r="S35" s="148">
        <f t="shared" si="25"/>
        <v>0</v>
      </c>
      <c r="T35" s="133">
        <f t="shared" si="7"/>
        <v>12938.59</v>
      </c>
      <c r="V35" s="134">
        <f t="shared" si="40"/>
        <v>0.22777777777777777</v>
      </c>
      <c r="Y35" s="237">
        <f t="shared" si="5"/>
        <v>1</v>
      </c>
    </row>
    <row r="36" spans="1:25" s="134" customFormat="1" ht="25.5" x14ac:dyDescent="0.2">
      <c r="A36" s="345" t="s">
        <v>101</v>
      </c>
      <c r="B36" s="348" t="s">
        <v>102</v>
      </c>
      <c r="C36" s="345" t="s">
        <v>103</v>
      </c>
      <c r="D36" s="40" t="s">
        <v>53</v>
      </c>
      <c r="E36" s="143">
        <v>1</v>
      </c>
      <c r="F36" s="144">
        <v>1</v>
      </c>
      <c r="G36" s="145"/>
      <c r="H36" s="144">
        <f t="shared" ref="H36:H39" si="65">F36+G36</f>
        <v>1</v>
      </c>
      <c r="I36" s="145">
        <f t="shared" ref="I36:I39" si="66">ROUND(E36-H36,2)</f>
        <v>0</v>
      </c>
      <c r="J36" s="145">
        <v>6021.84</v>
      </c>
      <c r="K36" s="146">
        <f t="shared" si="61"/>
        <v>7353.26</v>
      </c>
      <c r="L36" s="146">
        <f>TRUNC(E36*K36,2)</f>
        <v>7353.26</v>
      </c>
      <c r="M36" s="147">
        <f t="shared" ref="M36:M39" si="67">ROUND(F36*$K36,2)</f>
        <v>7353.26</v>
      </c>
      <c r="N36" s="147">
        <f t="shared" ref="N36:N39" si="68">ROUND(G36*$K36,2)</f>
        <v>0</v>
      </c>
      <c r="O36" s="147">
        <f t="shared" ref="O36:O39" si="69">ROUND(H36*$K36,2)</f>
        <v>7353.26</v>
      </c>
      <c r="P36" s="147">
        <f t="shared" si="33"/>
        <v>0</v>
      </c>
      <c r="Q36" s="147">
        <f t="shared" si="23"/>
        <v>0</v>
      </c>
      <c r="R36" s="147">
        <f t="shared" si="24"/>
        <v>100</v>
      </c>
      <c r="S36" s="148">
        <f t="shared" si="25"/>
        <v>0</v>
      </c>
      <c r="T36" s="133">
        <f t="shared" si="7"/>
        <v>7353.26</v>
      </c>
      <c r="V36" s="134">
        <f t="shared" si="40"/>
        <v>0.22777777777777777</v>
      </c>
      <c r="Y36" s="237">
        <f t="shared" si="5"/>
        <v>1</v>
      </c>
    </row>
    <row r="37" spans="1:25" s="134" customFormat="1" ht="25.5" x14ac:dyDescent="0.2">
      <c r="A37" s="345" t="s">
        <v>104</v>
      </c>
      <c r="B37" s="348" t="s">
        <v>105</v>
      </c>
      <c r="C37" s="345" t="s">
        <v>106</v>
      </c>
      <c r="D37" s="40" t="s">
        <v>43</v>
      </c>
      <c r="E37" s="143">
        <v>85</v>
      </c>
      <c r="F37" s="144">
        <v>85</v>
      </c>
      <c r="G37" s="145"/>
      <c r="H37" s="144">
        <f t="shared" si="65"/>
        <v>85</v>
      </c>
      <c r="I37" s="145">
        <f t="shared" si="66"/>
        <v>0</v>
      </c>
      <c r="J37" s="145">
        <v>91.74</v>
      </c>
      <c r="K37" s="146">
        <f t="shared" si="61"/>
        <v>112.02</v>
      </c>
      <c r="L37" s="146">
        <f>TRUNC(E37*K37,2)</f>
        <v>9521.7000000000007</v>
      </c>
      <c r="M37" s="147">
        <f t="shared" si="67"/>
        <v>9521.7000000000007</v>
      </c>
      <c r="N37" s="147">
        <f t="shared" si="68"/>
        <v>0</v>
      </c>
      <c r="O37" s="147">
        <f t="shared" si="69"/>
        <v>9521.7000000000007</v>
      </c>
      <c r="P37" s="147">
        <f t="shared" si="33"/>
        <v>0</v>
      </c>
      <c r="Q37" s="147">
        <f t="shared" si="23"/>
        <v>0</v>
      </c>
      <c r="R37" s="147">
        <f t="shared" si="24"/>
        <v>100</v>
      </c>
      <c r="S37" s="148">
        <f t="shared" si="25"/>
        <v>0</v>
      </c>
      <c r="T37" s="133">
        <f t="shared" si="7"/>
        <v>9521.7000000000007</v>
      </c>
      <c r="V37" s="134">
        <f t="shared" si="40"/>
        <v>19.361111111111111</v>
      </c>
      <c r="Y37" s="237">
        <f t="shared" si="5"/>
        <v>1</v>
      </c>
    </row>
    <row r="38" spans="1:25" s="134" customFormat="1" ht="25.5" x14ac:dyDescent="0.2">
      <c r="A38" s="345" t="s">
        <v>107</v>
      </c>
      <c r="B38" s="348" t="s">
        <v>108</v>
      </c>
      <c r="C38" s="345" t="s">
        <v>109</v>
      </c>
      <c r="D38" s="40" t="s">
        <v>53</v>
      </c>
      <c r="E38" s="143">
        <v>1</v>
      </c>
      <c r="F38" s="144">
        <v>1</v>
      </c>
      <c r="G38" s="145"/>
      <c r="H38" s="144">
        <f t="shared" si="65"/>
        <v>1</v>
      </c>
      <c r="I38" s="145">
        <f t="shared" si="66"/>
        <v>0</v>
      </c>
      <c r="J38" s="145">
        <v>8608.94</v>
      </c>
      <c r="K38" s="146">
        <f t="shared" si="61"/>
        <v>10512.37</v>
      </c>
      <c r="L38" s="146">
        <f>TRUNC(E38*K38,2)</f>
        <v>10512.37</v>
      </c>
      <c r="M38" s="147">
        <f t="shared" si="67"/>
        <v>10512.37</v>
      </c>
      <c r="N38" s="147">
        <f t="shared" si="68"/>
        <v>0</v>
      </c>
      <c r="O38" s="147">
        <f t="shared" si="69"/>
        <v>10512.37</v>
      </c>
      <c r="P38" s="147">
        <f t="shared" si="33"/>
        <v>0</v>
      </c>
      <c r="Q38" s="147">
        <f t="shared" si="23"/>
        <v>0</v>
      </c>
      <c r="R38" s="147">
        <f t="shared" si="24"/>
        <v>100</v>
      </c>
      <c r="S38" s="148">
        <f t="shared" si="25"/>
        <v>0</v>
      </c>
      <c r="T38" s="133">
        <f t="shared" si="7"/>
        <v>10512.37</v>
      </c>
      <c r="V38" s="134">
        <f t="shared" si="40"/>
        <v>0.22777777777777777</v>
      </c>
      <c r="Y38" s="237">
        <f t="shared" si="5"/>
        <v>1</v>
      </c>
    </row>
    <row r="39" spans="1:25" s="134" customFormat="1" ht="25.5" x14ac:dyDescent="0.2">
      <c r="A39" s="345" t="s">
        <v>110</v>
      </c>
      <c r="B39" s="348" t="s">
        <v>111</v>
      </c>
      <c r="C39" s="345" t="s">
        <v>112</v>
      </c>
      <c r="D39" s="40" t="s">
        <v>53</v>
      </c>
      <c r="E39" s="143">
        <v>1</v>
      </c>
      <c r="F39" s="144">
        <v>1</v>
      </c>
      <c r="G39" s="145"/>
      <c r="H39" s="144">
        <f t="shared" si="65"/>
        <v>1</v>
      </c>
      <c r="I39" s="145">
        <f t="shared" si="66"/>
        <v>0</v>
      </c>
      <c r="J39" s="145">
        <v>9507.1200000000008</v>
      </c>
      <c r="K39" s="146">
        <f t="shared" si="61"/>
        <v>11609.14</v>
      </c>
      <c r="L39" s="146">
        <f>TRUNC(E39*K39,2)</f>
        <v>11609.14</v>
      </c>
      <c r="M39" s="147">
        <f t="shared" si="67"/>
        <v>11609.14</v>
      </c>
      <c r="N39" s="147">
        <f t="shared" si="68"/>
        <v>0</v>
      </c>
      <c r="O39" s="147">
        <f t="shared" si="69"/>
        <v>11609.14</v>
      </c>
      <c r="P39" s="147">
        <f t="shared" si="33"/>
        <v>0</v>
      </c>
      <c r="Q39" s="147">
        <f t="shared" si="23"/>
        <v>0</v>
      </c>
      <c r="R39" s="147">
        <f t="shared" si="24"/>
        <v>100</v>
      </c>
      <c r="S39" s="148">
        <f t="shared" si="25"/>
        <v>0</v>
      </c>
      <c r="T39" s="133">
        <f t="shared" si="7"/>
        <v>11609.14</v>
      </c>
      <c r="V39" s="134">
        <f t="shared" si="40"/>
        <v>0.22777777777777777</v>
      </c>
      <c r="Y39" s="237">
        <f t="shared" si="5"/>
        <v>1</v>
      </c>
    </row>
    <row r="40" spans="1:25" s="134" customFormat="1" ht="12.75" x14ac:dyDescent="0.2">
      <c r="A40" s="47" t="s">
        <v>113</v>
      </c>
      <c r="B40" s="135"/>
      <c r="C40" s="47" t="s">
        <v>114</v>
      </c>
      <c r="D40" s="136"/>
      <c r="E40" s="137" t="s">
        <v>46</v>
      </c>
      <c r="F40" s="138"/>
      <c r="G40" s="138"/>
      <c r="H40" s="138"/>
      <c r="I40" s="138"/>
      <c r="J40" s="139" t="s">
        <v>46</v>
      </c>
      <c r="K40" s="140"/>
      <c r="L40" s="149">
        <f>SUM(L41:L45)</f>
        <v>26219.089999999997</v>
      </c>
      <c r="M40" s="141">
        <f t="shared" ref="M40:P40" si="70">SUM(M41:M45)</f>
        <v>26219.089999999997</v>
      </c>
      <c r="N40" s="141">
        <f t="shared" si="70"/>
        <v>0</v>
      </c>
      <c r="O40" s="141">
        <f t="shared" si="70"/>
        <v>26219.089999999997</v>
      </c>
      <c r="P40" s="141">
        <f t="shared" si="70"/>
        <v>0</v>
      </c>
      <c r="Q40" s="141">
        <f t="shared" si="23"/>
        <v>0</v>
      </c>
      <c r="R40" s="141">
        <f t="shared" si="24"/>
        <v>100</v>
      </c>
      <c r="S40" s="142">
        <f t="shared" si="25"/>
        <v>0</v>
      </c>
      <c r="T40" s="133">
        <f t="shared" si="7"/>
        <v>26219.089999999997</v>
      </c>
      <c r="V40" s="134" t="e">
        <f t="shared" si="40"/>
        <v>#VALUE!</v>
      </c>
      <c r="Y40" s="237">
        <f t="shared" si="5"/>
        <v>1</v>
      </c>
    </row>
    <row r="41" spans="1:25" s="134" customFormat="1" ht="25.5" x14ac:dyDescent="0.2">
      <c r="A41" s="348" t="s">
        <v>115</v>
      </c>
      <c r="B41" s="348" t="s">
        <v>116</v>
      </c>
      <c r="C41" s="42" t="s">
        <v>117</v>
      </c>
      <c r="D41" s="40" t="s">
        <v>118</v>
      </c>
      <c r="E41" s="143">
        <v>1</v>
      </c>
      <c r="F41" s="144">
        <v>1</v>
      </c>
      <c r="G41" s="145"/>
      <c r="H41" s="144">
        <f t="shared" ref="H41" si="71">F41+G41</f>
        <v>1</v>
      </c>
      <c r="I41" s="145">
        <f t="shared" ref="I41" si="72">ROUND(E41-H41,2)</f>
        <v>0</v>
      </c>
      <c r="J41" s="145">
        <v>271.39999999999998</v>
      </c>
      <c r="K41" s="146">
        <f t="shared" ref="K41:K45" si="73">TRUNC(J41*1.2211,2)</f>
        <v>331.4</v>
      </c>
      <c r="L41" s="146">
        <f>TRUNC(E41*K41,2)</f>
        <v>331.4</v>
      </c>
      <c r="M41" s="147">
        <f t="shared" ref="M41" si="74">ROUND(F41*$K41,2)</f>
        <v>331.4</v>
      </c>
      <c r="N41" s="147">
        <f t="shared" ref="N41" si="75">ROUND(G41*$K41,2)</f>
        <v>0</v>
      </c>
      <c r="O41" s="147">
        <f t="shared" ref="O41" si="76">ROUND(H41*$K41,2)</f>
        <v>331.4</v>
      </c>
      <c r="P41" s="147">
        <f t="shared" si="33"/>
        <v>0</v>
      </c>
      <c r="Q41" s="147">
        <f t="shared" si="23"/>
        <v>0</v>
      </c>
      <c r="R41" s="147">
        <f t="shared" si="24"/>
        <v>100</v>
      </c>
      <c r="S41" s="148">
        <f t="shared" si="25"/>
        <v>0</v>
      </c>
      <c r="T41" s="133">
        <f t="shared" si="7"/>
        <v>331.4</v>
      </c>
      <c r="V41" s="134">
        <f>(E41/180)*41</f>
        <v>0.22777777777777777</v>
      </c>
      <c r="Y41" s="237">
        <f t="shared" si="5"/>
        <v>1</v>
      </c>
    </row>
    <row r="42" spans="1:25" s="134" customFormat="1" ht="12.75" x14ac:dyDescent="0.2">
      <c r="A42" s="348" t="s">
        <v>119</v>
      </c>
      <c r="B42" s="348">
        <v>41598</v>
      </c>
      <c r="C42" s="42" t="s">
        <v>120</v>
      </c>
      <c r="D42" s="40" t="s">
        <v>53</v>
      </c>
      <c r="E42" s="143">
        <v>1</v>
      </c>
      <c r="F42" s="144">
        <v>1</v>
      </c>
      <c r="G42" s="145"/>
      <c r="H42" s="144">
        <f t="shared" ref="H42:H48" si="77">F42+G42</f>
        <v>1</v>
      </c>
      <c r="I42" s="145">
        <f t="shared" ref="I42:I45" si="78">ROUND(E42-H42,2)</f>
        <v>0</v>
      </c>
      <c r="J42" s="145">
        <v>676.19</v>
      </c>
      <c r="K42" s="146">
        <f t="shared" si="73"/>
        <v>825.69</v>
      </c>
      <c r="L42" s="146">
        <f>TRUNC(E42*K42,2)</f>
        <v>825.69</v>
      </c>
      <c r="M42" s="147">
        <f t="shared" ref="M42:M45" si="79">ROUND(F42*$K42,2)</f>
        <v>825.69</v>
      </c>
      <c r="N42" s="147">
        <f t="shared" ref="N42:N45" si="80">ROUND(G42*$K42,2)</f>
        <v>0</v>
      </c>
      <c r="O42" s="147">
        <f t="shared" ref="O42:O45" si="81">ROUND(H42*$K42,2)</f>
        <v>825.69</v>
      </c>
      <c r="P42" s="147">
        <f t="shared" si="33"/>
        <v>0</v>
      </c>
      <c r="Q42" s="147">
        <f t="shared" si="23"/>
        <v>0</v>
      </c>
      <c r="R42" s="147">
        <f t="shared" si="24"/>
        <v>100</v>
      </c>
      <c r="S42" s="148">
        <f t="shared" si="25"/>
        <v>0</v>
      </c>
      <c r="T42" s="133">
        <f t="shared" si="7"/>
        <v>825.69</v>
      </c>
      <c r="V42" s="134">
        <f t="shared" si="40"/>
        <v>0.22777777777777777</v>
      </c>
      <c r="Y42" s="237">
        <f t="shared" si="5"/>
        <v>1</v>
      </c>
    </row>
    <row r="43" spans="1:25" s="134" customFormat="1" ht="12.75" x14ac:dyDescent="0.2">
      <c r="A43" s="345" t="s">
        <v>121</v>
      </c>
      <c r="B43" s="348" t="s">
        <v>122</v>
      </c>
      <c r="C43" s="42" t="s">
        <v>123</v>
      </c>
      <c r="D43" s="40" t="s">
        <v>53</v>
      </c>
      <c r="E43" s="143">
        <v>1</v>
      </c>
      <c r="F43" s="144">
        <v>1</v>
      </c>
      <c r="G43" s="145"/>
      <c r="H43" s="144">
        <f t="shared" si="77"/>
        <v>1</v>
      </c>
      <c r="I43" s="145">
        <f t="shared" si="78"/>
        <v>0</v>
      </c>
      <c r="J43" s="145">
        <v>1183.43</v>
      </c>
      <c r="K43" s="146">
        <f t="shared" si="73"/>
        <v>1445.08</v>
      </c>
      <c r="L43" s="146">
        <f>TRUNC(E43*K43,2)</f>
        <v>1445.08</v>
      </c>
      <c r="M43" s="147">
        <f t="shared" si="79"/>
        <v>1445.08</v>
      </c>
      <c r="N43" s="147">
        <f t="shared" si="80"/>
        <v>0</v>
      </c>
      <c r="O43" s="147">
        <f t="shared" si="81"/>
        <v>1445.08</v>
      </c>
      <c r="P43" s="147">
        <f t="shared" si="33"/>
        <v>0</v>
      </c>
      <c r="Q43" s="147">
        <f t="shared" si="23"/>
        <v>0</v>
      </c>
      <c r="R43" s="147">
        <f t="shared" si="24"/>
        <v>100</v>
      </c>
      <c r="S43" s="148">
        <f t="shared" si="25"/>
        <v>0</v>
      </c>
      <c r="T43" s="133">
        <f t="shared" si="7"/>
        <v>1445.08</v>
      </c>
      <c r="V43" s="134">
        <f t="shared" si="40"/>
        <v>0.22777777777777777</v>
      </c>
      <c r="Y43" s="237">
        <f t="shared" si="5"/>
        <v>1</v>
      </c>
    </row>
    <row r="44" spans="1:25" s="134" customFormat="1" ht="25.5" x14ac:dyDescent="0.2">
      <c r="A44" s="345" t="s">
        <v>124</v>
      </c>
      <c r="B44" s="348" t="s">
        <v>125</v>
      </c>
      <c r="C44" s="345" t="s">
        <v>126</v>
      </c>
      <c r="D44" s="40" t="s">
        <v>53</v>
      </c>
      <c r="E44" s="143">
        <v>1</v>
      </c>
      <c r="F44" s="144">
        <v>1</v>
      </c>
      <c r="G44" s="145"/>
      <c r="H44" s="144">
        <f t="shared" si="77"/>
        <v>1</v>
      </c>
      <c r="I44" s="145">
        <f t="shared" si="78"/>
        <v>0</v>
      </c>
      <c r="J44" s="145">
        <v>3285.01</v>
      </c>
      <c r="K44" s="146">
        <f t="shared" si="73"/>
        <v>4011.32</v>
      </c>
      <c r="L44" s="146">
        <f>TRUNC(E44*K44,2)</f>
        <v>4011.32</v>
      </c>
      <c r="M44" s="147">
        <f t="shared" si="79"/>
        <v>4011.32</v>
      </c>
      <c r="N44" s="147">
        <f t="shared" si="80"/>
        <v>0</v>
      </c>
      <c r="O44" s="147">
        <f t="shared" si="81"/>
        <v>4011.32</v>
      </c>
      <c r="P44" s="147">
        <f t="shared" si="33"/>
        <v>0</v>
      </c>
      <c r="Q44" s="147">
        <f t="shared" si="23"/>
        <v>0</v>
      </c>
      <c r="R44" s="147">
        <f t="shared" si="24"/>
        <v>100</v>
      </c>
      <c r="S44" s="148">
        <f t="shared" si="25"/>
        <v>0</v>
      </c>
      <c r="T44" s="133">
        <f t="shared" si="7"/>
        <v>4011.32</v>
      </c>
      <c r="V44" s="134">
        <f t="shared" si="40"/>
        <v>0.22777777777777777</v>
      </c>
      <c r="Y44" s="237">
        <f t="shared" si="5"/>
        <v>1</v>
      </c>
    </row>
    <row r="45" spans="1:25" s="134" customFormat="1" ht="25.5" x14ac:dyDescent="0.2">
      <c r="A45" s="345" t="s">
        <v>127</v>
      </c>
      <c r="B45" s="348" t="s">
        <v>128</v>
      </c>
      <c r="C45" s="345" t="s">
        <v>129</v>
      </c>
      <c r="D45" s="40" t="s">
        <v>130</v>
      </c>
      <c r="E45" s="143">
        <v>48</v>
      </c>
      <c r="F45" s="144">
        <v>48</v>
      </c>
      <c r="G45" s="145"/>
      <c r="H45" s="144">
        <f t="shared" si="77"/>
        <v>48</v>
      </c>
      <c r="I45" s="145">
        <f t="shared" si="78"/>
        <v>0</v>
      </c>
      <c r="J45" s="145">
        <v>334.5</v>
      </c>
      <c r="K45" s="146">
        <f t="shared" si="73"/>
        <v>408.45</v>
      </c>
      <c r="L45" s="146">
        <f>TRUNC(E45*K45,2)</f>
        <v>19605.599999999999</v>
      </c>
      <c r="M45" s="147">
        <f t="shared" si="79"/>
        <v>19605.599999999999</v>
      </c>
      <c r="N45" s="147">
        <f t="shared" si="80"/>
        <v>0</v>
      </c>
      <c r="O45" s="147">
        <f t="shared" si="81"/>
        <v>19605.599999999999</v>
      </c>
      <c r="P45" s="147">
        <f t="shared" si="33"/>
        <v>0</v>
      </c>
      <c r="Q45" s="147">
        <f t="shared" si="23"/>
        <v>0</v>
      </c>
      <c r="R45" s="147">
        <f t="shared" si="24"/>
        <v>100</v>
      </c>
      <c r="S45" s="148">
        <f t="shared" si="25"/>
        <v>0</v>
      </c>
      <c r="T45" s="133">
        <f t="shared" si="7"/>
        <v>19605.599999999999</v>
      </c>
      <c r="V45" s="134">
        <f t="shared" si="40"/>
        <v>10.933333333333334</v>
      </c>
      <c r="Y45" s="237">
        <f t="shared" si="5"/>
        <v>1</v>
      </c>
    </row>
    <row r="46" spans="1:25" s="134" customFormat="1" ht="12.75" x14ac:dyDescent="0.2">
      <c r="A46" s="47" t="s">
        <v>131</v>
      </c>
      <c r="B46" s="135"/>
      <c r="C46" s="47" t="s">
        <v>132</v>
      </c>
      <c r="D46" s="136"/>
      <c r="E46" s="137" t="s">
        <v>46</v>
      </c>
      <c r="F46" s="138"/>
      <c r="G46" s="138"/>
      <c r="H46" s="138"/>
      <c r="I46" s="138"/>
      <c r="J46" s="139" t="s">
        <v>46</v>
      </c>
      <c r="K46" s="140"/>
      <c r="L46" s="149">
        <f>SUM(L47:L48)</f>
        <v>11920</v>
      </c>
      <c r="M46" s="141">
        <f t="shared" ref="M46:P46" si="82">SUM(M47:M48)</f>
        <v>11920</v>
      </c>
      <c r="N46" s="141">
        <f t="shared" si="82"/>
        <v>0</v>
      </c>
      <c r="O46" s="141">
        <f t="shared" si="82"/>
        <v>11920</v>
      </c>
      <c r="P46" s="141">
        <f t="shared" si="82"/>
        <v>0</v>
      </c>
      <c r="Q46" s="141">
        <f t="shared" si="23"/>
        <v>0</v>
      </c>
      <c r="R46" s="141">
        <f t="shared" si="24"/>
        <v>100</v>
      </c>
      <c r="S46" s="142">
        <f t="shared" si="25"/>
        <v>0</v>
      </c>
      <c r="T46" s="133">
        <f t="shared" si="7"/>
        <v>11920</v>
      </c>
      <c r="V46" s="134" t="e">
        <f t="shared" si="40"/>
        <v>#VALUE!</v>
      </c>
      <c r="Y46" s="237">
        <f t="shared" si="5"/>
        <v>1</v>
      </c>
    </row>
    <row r="47" spans="1:25" s="134" customFormat="1" ht="12.75" x14ac:dyDescent="0.2">
      <c r="A47" s="345" t="s">
        <v>133</v>
      </c>
      <c r="B47" s="348" t="s">
        <v>134</v>
      </c>
      <c r="C47" s="345" t="s">
        <v>135</v>
      </c>
      <c r="D47" s="40" t="s">
        <v>43</v>
      </c>
      <c r="E47" s="143">
        <v>200</v>
      </c>
      <c r="F47" s="145">
        <v>200</v>
      </c>
      <c r="G47" s="145"/>
      <c r="H47" s="144">
        <f t="shared" si="77"/>
        <v>200</v>
      </c>
      <c r="I47" s="145">
        <f t="shared" ref="I47" si="83">ROUND(E47-H47,2)</f>
        <v>0</v>
      </c>
      <c r="J47" s="145">
        <v>2.58</v>
      </c>
      <c r="K47" s="146">
        <f t="shared" ref="K47:K48" si="84">TRUNC(J47*1.2211,2)</f>
        <v>3.15</v>
      </c>
      <c r="L47" s="146">
        <f>TRUNC(E47*K47,2)</f>
        <v>630</v>
      </c>
      <c r="M47" s="147">
        <f t="shared" ref="M47" si="85">ROUND(F47*$K47,2)</f>
        <v>630</v>
      </c>
      <c r="N47" s="147">
        <f t="shared" ref="N47" si="86">ROUND(G47*$K47,2)</f>
        <v>0</v>
      </c>
      <c r="O47" s="147">
        <f t="shared" ref="O47" si="87">ROUND(H47*$K47,2)</f>
        <v>630</v>
      </c>
      <c r="P47" s="147">
        <f t="shared" si="33"/>
        <v>0</v>
      </c>
      <c r="Q47" s="147">
        <f t="shared" si="23"/>
        <v>0</v>
      </c>
      <c r="R47" s="147">
        <f t="shared" si="24"/>
        <v>100</v>
      </c>
      <c r="S47" s="148">
        <f>P47/L47*100</f>
        <v>0</v>
      </c>
      <c r="T47" s="133">
        <f t="shared" si="7"/>
        <v>630</v>
      </c>
      <c r="V47" s="134">
        <f t="shared" si="40"/>
        <v>45.555555555555557</v>
      </c>
      <c r="Y47" s="237">
        <f t="shared" si="5"/>
        <v>1</v>
      </c>
    </row>
    <row r="48" spans="1:25" s="134" customFormat="1" ht="25.5" x14ac:dyDescent="0.2">
      <c r="A48" s="345" t="s">
        <v>136</v>
      </c>
      <c r="B48" s="348" t="s">
        <v>137</v>
      </c>
      <c r="C48" s="345" t="s">
        <v>138</v>
      </c>
      <c r="D48" s="40" t="s">
        <v>43</v>
      </c>
      <c r="E48" s="143">
        <v>200</v>
      </c>
      <c r="F48" s="145">
        <v>200</v>
      </c>
      <c r="G48" s="145"/>
      <c r="H48" s="144">
        <f t="shared" si="77"/>
        <v>200</v>
      </c>
      <c r="I48" s="145">
        <f t="shared" ref="I48" si="88">ROUND(E48-H48,2)</f>
        <v>0</v>
      </c>
      <c r="J48" s="145">
        <v>46.23</v>
      </c>
      <c r="K48" s="146">
        <f t="shared" si="84"/>
        <v>56.45</v>
      </c>
      <c r="L48" s="146">
        <f>TRUNC(E48*K48,2)</f>
        <v>11290</v>
      </c>
      <c r="M48" s="147">
        <f t="shared" ref="M48" si="89">ROUND(F48*$K48,2)</f>
        <v>11290</v>
      </c>
      <c r="N48" s="147">
        <f t="shared" ref="N48" si="90">ROUND(G48*$K48,2)</f>
        <v>0</v>
      </c>
      <c r="O48" s="147">
        <f t="shared" ref="O48" si="91">ROUND(H48*$K48,2)</f>
        <v>11290</v>
      </c>
      <c r="P48" s="147">
        <f t="shared" si="33"/>
        <v>0</v>
      </c>
      <c r="Q48" s="147">
        <f t="shared" si="23"/>
        <v>0</v>
      </c>
      <c r="R48" s="147">
        <f t="shared" si="24"/>
        <v>100</v>
      </c>
      <c r="S48" s="148">
        <f t="shared" si="25"/>
        <v>0</v>
      </c>
      <c r="T48" s="133">
        <f t="shared" si="7"/>
        <v>11290</v>
      </c>
      <c r="V48" s="134">
        <f t="shared" si="40"/>
        <v>45.555555555555557</v>
      </c>
      <c r="Y48" s="237">
        <f t="shared" si="5"/>
        <v>1</v>
      </c>
    </row>
    <row r="49" spans="1:25" customFormat="1" ht="12.75" x14ac:dyDescent="0.2">
      <c r="A49" s="54" t="s">
        <v>139</v>
      </c>
      <c r="B49" s="55"/>
      <c r="C49" s="54" t="s">
        <v>140</v>
      </c>
      <c r="D49" s="56"/>
      <c r="E49" s="366" t="s">
        <v>46</v>
      </c>
      <c r="F49" s="367"/>
      <c r="G49" s="367"/>
      <c r="H49" s="367"/>
      <c r="I49" s="367"/>
      <c r="J49" s="57" t="s">
        <v>46</v>
      </c>
      <c r="K49" s="58"/>
      <c r="L49" s="59">
        <f>L50</f>
        <v>1131946.92</v>
      </c>
      <c r="M49" s="72">
        <f t="shared" ref="M49:P50" si="92">M50</f>
        <v>1051776.3699999999</v>
      </c>
      <c r="N49" s="72">
        <f t="shared" si="92"/>
        <v>0</v>
      </c>
      <c r="O49" s="72">
        <f t="shared" si="92"/>
        <v>1051776.3699999999</v>
      </c>
      <c r="P49" s="72">
        <f t="shared" si="92"/>
        <v>80170.559999999998</v>
      </c>
      <c r="Q49" s="72">
        <f t="shared" si="23"/>
        <v>0</v>
      </c>
      <c r="R49" s="72">
        <f t="shared" si="24"/>
        <v>92.917463833021415</v>
      </c>
      <c r="S49" s="60">
        <f t="shared" si="25"/>
        <v>7.0825370504122231</v>
      </c>
      <c r="T49" s="34">
        <f t="shared" si="7"/>
        <v>1051776.3599999999</v>
      </c>
      <c r="Y49" s="237">
        <f t="shared" si="5"/>
        <v>0.92917463833021419</v>
      </c>
    </row>
    <row r="50" spans="1:25" customFormat="1" ht="12.75" x14ac:dyDescent="0.2">
      <c r="A50" s="47" t="s">
        <v>141</v>
      </c>
      <c r="B50" s="48"/>
      <c r="C50" s="47" t="s">
        <v>140</v>
      </c>
      <c r="D50" s="49"/>
      <c r="E50" s="364" t="s">
        <v>46</v>
      </c>
      <c r="F50" s="365"/>
      <c r="G50" s="365"/>
      <c r="H50" s="365"/>
      <c r="I50" s="365"/>
      <c r="J50" s="50" t="s">
        <v>46</v>
      </c>
      <c r="K50" s="51"/>
      <c r="L50" s="52">
        <f>L51</f>
        <v>1131946.92</v>
      </c>
      <c r="M50" s="73">
        <f t="shared" si="92"/>
        <v>1051776.3699999999</v>
      </c>
      <c r="N50" s="73">
        <f t="shared" si="92"/>
        <v>0</v>
      </c>
      <c r="O50" s="73">
        <f t="shared" si="92"/>
        <v>1051776.3699999999</v>
      </c>
      <c r="P50" s="73">
        <f t="shared" si="92"/>
        <v>80170.559999999998</v>
      </c>
      <c r="Q50" s="73">
        <f t="shared" si="23"/>
        <v>0</v>
      </c>
      <c r="R50" s="73">
        <f t="shared" si="24"/>
        <v>92.917463833021415</v>
      </c>
      <c r="S50" s="53">
        <f t="shared" si="25"/>
        <v>7.0825370504122231</v>
      </c>
      <c r="T50" s="34">
        <f t="shared" si="7"/>
        <v>1051776.3599999999</v>
      </c>
      <c r="Y50" s="237">
        <f t="shared" si="5"/>
        <v>0.92917463833021419</v>
      </c>
    </row>
    <row r="51" spans="1:25" customFormat="1" ht="12.75" x14ac:dyDescent="0.2">
      <c r="A51" s="65" t="s">
        <v>142</v>
      </c>
      <c r="B51" s="66"/>
      <c r="C51" s="65" t="s">
        <v>143</v>
      </c>
      <c r="D51" s="67"/>
      <c r="E51" s="369" t="s">
        <v>46</v>
      </c>
      <c r="F51" s="370"/>
      <c r="G51" s="370"/>
      <c r="H51" s="370"/>
      <c r="I51" s="370"/>
      <c r="J51" s="372" t="s">
        <v>46</v>
      </c>
      <c r="K51" s="68"/>
      <c r="L51" s="69">
        <f>SUM(L52:L60)</f>
        <v>1131946.92</v>
      </c>
      <c r="M51" s="74">
        <f t="shared" ref="M51:P51" si="93">SUM(M52:M60)</f>
        <v>1051776.3699999999</v>
      </c>
      <c r="N51" s="74">
        <f t="shared" si="93"/>
        <v>0</v>
      </c>
      <c r="O51" s="74">
        <f t="shared" si="93"/>
        <v>1051776.3699999999</v>
      </c>
      <c r="P51" s="74">
        <f t="shared" si="93"/>
        <v>80170.559999999998</v>
      </c>
      <c r="Q51" s="74">
        <f t="shared" si="23"/>
        <v>0</v>
      </c>
      <c r="R51" s="74">
        <f t="shared" si="24"/>
        <v>92.917463833021415</v>
      </c>
      <c r="S51" s="70">
        <f t="shared" si="25"/>
        <v>7.0825370504122231</v>
      </c>
      <c r="T51" s="34">
        <f t="shared" si="7"/>
        <v>1051776.3599999999</v>
      </c>
      <c r="Y51" s="237">
        <f t="shared" si="5"/>
        <v>0.92917463833021419</v>
      </c>
    </row>
    <row r="52" spans="1:25" customFormat="1" ht="25.5" x14ac:dyDescent="0.2">
      <c r="A52" s="345" t="s">
        <v>144</v>
      </c>
      <c r="B52" s="38">
        <v>5501710</v>
      </c>
      <c r="C52" s="345" t="s">
        <v>145</v>
      </c>
      <c r="D52" s="40" t="s">
        <v>77</v>
      </c>
      <c r="E52" s="363">
        <v>12369.67</v>
      </c>
      <c r="F52" s="103">
        <v>12369.66</v>
      </c>
      <c r="G52" s="103"/>
      <c r="H52" s="103">
        <f t="shared" ref="H52" si="94">F52+G52</f>
        <v>12369.66</v>
      </c>
      <c r="I52" s="368">
        <f t="shared" ref="I52" si="95">ROUND(E52-H52,2)</f>
        <v>0.01</v>
      </c>
      <c r="J52" s="368">
        <v>2.92</v>
      </c>
      <c r="K52" s="41">
        <f t="shared" ref="K52:K60" si="96">TRUNC(J52*1.2211,2)</f>
        <v>3.56</v>
      </c>
      <c r="L52" s="41">
        <f t="shared" ref="L52:L60" si="97">TRUNC(E52*K52,2)</f>
        <v>44036.02</v>
      </c>
      <c r="M52" s="71">
        <f t="shared" ref="M52" si="98">ROUND(F52*$K52,2)</f>
        <v>44035.99</v>
      </c>
      <c r="N52" s="71">
        <f t="shared" ref="N52" si="99">ROUND(G52*$K52,2)</f>
        <v>0</v>
      </c>
      <c r="O52" s="71">
        <f t="shared" ref="O52" si="100">ROUND(H52*$K52,2)</f>
        <v>44035.99</v>
      </c>
      <c r="P52" s="71">
        <f>L52-O52</f>
        <v>2.9999999998835847E-2</v>
      </c>
      <c r="Q52" s="71">
        <f t="shared" si="23"/>
        <v>0</v>
      </c>
      <c r="R52" s="71">
        <f t="shared" si="24"/>
        <v>99.999931873952292</v>
      </c>
      <c r="S52" s="39">
        <f t="shared" si="25"/>
        <v>6.812604771919862E-5</v>
      </c>
      <c r="T52" s="34">
        <f t="shared" si="7"/>
        <v>44035.99</v>
      </c>
      <c r="Y52" s="237">
        <f t="shared" si="5"/>
        <v>0.99999931873952286</v>
      </c>
    </row>
    <row r="53" spans="1:25" customFormat="1" ht="38.25" x14ac:dyDescent="0.2">
      <c r="A53" s="345" t="s">
        <v>146</v>
      </c>
      <c r="B53" s="38">
        <v>5501875</v>
      </c>
      <c r="C53" s="345" t="s">
        <v>147</v>
      </c>
      <c r="D53" s="40" t="s">
        <v>77</v>
      </c>
      <c r="E53" s="363">
        <v>15514.4</v>
      </c>
      <c r="F53" s="103">
        <v>15514.4</v>
      </c>
      <c r="G53" s="103"/>
      <c r="H53" s="103">
        <f t="shared" ref="H53:H60" si="101">F53+G53</f>
        <v>15514.4</v>
      </c>
      <c r="I53" s="368">
        <f t="shared" ref="I53:I60" si="102">ROUND(E53-H53,2)</f>
        <v>0</v>
      </c>
      <c r="J53" s="368">
        <v>9.4600000000000009</v>
      </c>
      <c r="K53" s="41">
        <f t="shared" si="96"/>
        <v>11.55</v>
      </c>
      <c r="L53" s="41">
        <f t="shared" si="97"/>
        <v>179191.32</v>
      </c>
      <c r="M53" s="71">
        <f t="shared" ref="M53:M60" si="103">ROUND(F53*$K53,2)</f>
        <v>179191.32</v>
      </c>
      <c r="N53" s="71">
        <f t="shared" ref="N53:N60" si="104">ROUND(G53*$K53,2)</f>
        <v>0</v>
      </c>
      <c r="O53" s="71">
        <f t="shared" ref="O53:O60" si="105">ROUND(H53*$K53,2)</f>
        <v>179191.32</v>
      </c>
      <c r="P53" s="71">
        <f t="shared" ref="P53:P60" si="106">ROUND(I53*$K53,2)</f>
        <v>0</v>
      </c>
      <c r="Q53" s="71">
        <f t="shared" si="23"/>
        <v>0</v>
      </c>
      <c r="R53" s="71">
        <f t="shared" si="24"/>
        <v>100</v>
      </c>
      <c r="S53" s="39">
        <f t="shared" si="25"/>
        <v>0</v>
      </c>
      <c r="T53" s="34">
        <f t="shared" si="7"/>
        <v>179191.32</v>
      </c>
      <c r="Y53" s="237">
        <f t="shared" si="5"/>
        <v>1</v>
      </c>
    </row>
    <row r="54" spans="1:25" customFormat="1" ht="25.5" x14ac:dyDescent="0.2">
      <c r="A54" s="345" t="s">
        <v>150</v>
      </c>
      <c r="B54" s="38">
        <v>5501876</v>
      </c>
      <c r="C54" s="345" t="s">
        <v>151</v>
      </c>
      <c r="D54" s="40" t="s">
        <v>77</v>
      </c>
      <c r="E54" s="363">
        <v>3823.23</v>
      </c>
      <c r="F54" s="103">
        <v>3823.2299999999996</v>
      </c>
      <c r="G54" s="144"/>
      <c r="H54" s="103">
        <f t="shared" si="101"/>
        <v>3823.2299999999996</v>
      </c>
      <c r="I54" s="368">
        <f t="shared" si="102"/>
        <v>0</v>
      </c>
      <c r="J54" s="368">
        <v>9.91</v>
      </c>
      <c r="K54" s="41">
        <f t="shared" si="96"/>
        <v>12.1</v>
      </c>
      <c r="L54" s="41">
        <f t="shared" si="97"/>
        <v>46261.08</v>
      </c>
      <c r="M54" s="71">
        <f t="shared" si="103"/>
        <v>46261.08</v>
      </c>
      <c r="N54" s="71">
        <f t="shared" si="104"/>
        <v>0</v>
      </c>
      <c r="O54" s="71">
        <f t="shared" si="105"/>
        <v>46261.08</v>
      </c>
      <c r="P54" s="71">
        <f t="shared" si="106"/>
        <v>0</v>
      </c>
      <c r="Q54" s="71">
        <f t="shared" si="23"/>
        <v>0</v>
      </c>
      <c r="R54" s="71">
        <f t="shared" si="24"/>
        <v>100</v>
      </c>
      <c r="S54" s="39">
        <f t="shared" si="25"/>
        <v>0</v>
      </c>
      <c r="T54" s="34">
        <f t="shared" si="7"/>
        <v>46261.08</v>
      </c>
      <c r="Y54" s="237">
        <f t="shared" si="5"/>
        <v>1</v>
      </c>
    </row>
    <row r="55" spans="1:25" customFormat="1" ht="38.25" x14ac:dyDescent="0.2">
      <c r="A55" s="345" t="s">
        <v>152</v>
      </c>
      <c r="B55" s="38">
        <v>5501878</v>
      </c>
      <c r="C55" s="345" t="s">
        <v>153</v>
      </c>
      <c r="D55" s="40" t="s">
        <v>77</v>
      </c>
      <c r="E55" s="363">
        <v>607.91</v>
      </c>
      <c r="F55" s="103">
        <v>607.90000000000009</v>
      </c>
      <c r="G55" s="144"/>
      <c r="H55" s="103">
        <f t="shared" si="101"/>
        <v>607.90000000000009</v>
      </c>
      <c r="I55" s="368">
        <f t="shared" si="102"/>
        <v>0.01</v>
      </c>
      <c r="J55" s="368">
        <v>10.96</v>
      </c>
      <c r="K55" s="41">
        <f t="shared" si="96"/>
        <v>13.38</v>
      </c>
      <c r="L55" s="41">
        <f t="shared" si="97"/>
        <v>8133.83</v>
      </c>
      <c r="M55" s="71">
        <f t="shared" si="103"/>
        <v>8133.7</v>
      </c>
      <c r="N55" s="71">
        <f t="shared" si="104"/>
        <v>0</v>
      </c>
      <c r="O55" s="71">
        <f t="shared" si="105"/>
        <v>8133.7</v>
      </c>
      <c r="P55" s="71">
        <f>L55-O55</f>
        <v>0.13000000000010914</v>
      </c>
      <c r="Q55" s="71">
        <f t="shared" si="23"/>
        <v>0</v>
      </c>
      <c r="R55" s="71">
        <f t="shared" si="24"/>
        <v>99.998401736943109</v>
      </c>
      <c r="S55" s="39">
        <f t="shared" si="25"/>
        <v>1.5982630568884418E-3</v>
      </c>
      <c r="T55" s="34">
        <f t="shared" si="7"/>
        <v>8133.7</v>
      </c>
      <c r="Y55" s="237">
        <f t="shared" si="5"/>
        <v>0.9999840173694311</v>
      </c>
    </row>
    <row r="56" spans="1:25" customFormat="1" ht="25.5" x14ac:dyDescent="0.2">
      <c r="A56" s="345" t="s">
        <v>154</v>
      </c>
      <c r="B56" s="38">
        <v>5501880</v>
      </c>
      <c r="C56" s="345" t="s">
        <v>155</v>
      </c>
      <c r="D56" s="40" t="s">
        <v>77</v>
      </c>
      <c r="E56" s="363">
        <v>13645</v>
      </c>
      <c r="F56" s="103">
        <v>13645</v>
      </c>
      <c r="G56" s="144"/>
      <c r="H56" s="103">
        <f t="shared" si="101"/>
        <v>13645</v>
      </c>
      <c r="I56" s="368">
        <f t="shared" si="102"/>
        <v>0</v>
      </c>
      <c r="J56" s="368">
        <v>11.93</v>
      </c>
      <c r="K56" s="41">
        <f t="shared" si="96"/>
        <v>14.56</v>
      </c>
      <c r="L56" s="41">
        <f t="shared" si="97"/>
        <v>198671.2</v>
      </c>
      <c r="M56" s="71">
        <f t="shared" si="103"/>
        <v>198671.2</v>
      </c>
      <c r="N56" s="71">
        <f t="shared" si="104"/>
        <v>0</v>
      </c>
      <c r="O56" s="71">
        <f t="shared" si="105"/>
        <v>198671.2</v>
      </c>
      <c r="P56" s="71">
        <f t="shared" si="106"/>
        <v>0</v>
      </c>
      <c r="Q56" s="71">
        <f t="shared" si="23"/>
        <v>0</v>
      </c>
      <c r="R56" s="71">
        <f t="shared" si="24"/>
        <v>100</v>
      </c>
      <c r="S56" s="39">
        <f t="shared" si="25"/>
        <v>0</v>
      </c>
      <c r="T56" s="34">
        <f t="shared" si="7"/>
        <v>198671.2</v>
      </c>
      <c r="Y56" s="237">
        <f t="shared" si="5"/>
        <v>1</v>
      </c>
    </row>
    <row r="57" spans="1:25" customFormat="1" ht="38.25" x14ac:dyDescent="0.2">
      <c r="A57" s="345" t="s">
        <v>156</v>
      </c>
      <c r="B57" s="348">
        <v>5501881</v>
      </c>
      <c r="C57" s="345" t="s">
        <v>157</v>
      </c>
      <c r="D57" s="40" t="s">
        <v>77</v>
      </c>
      <c r="E57" s="363">
        <v>2746</v>
      </c>
      <c r="F57" s="103">
        <v>2746.0000000000005</v>
      </c>
      <c r="G57" s="144"/>
      <c r="H57" s="103">
        <f t="shared" si="101"/>
        <v>2746.0000000000005</v>
      </c>
      <c r="I57" s="368">
        <f t="shared" si="102"/>
        <v>0</v>
      </c>
      <c r="J57" s="368">
        <v>12.2</v>
      </c>
      <c r="K57" s="41">
        <f t="shared" si="96"/>
        <v>14.89</v>
      </c>
      <c r="L57" s="41">
        <f t="shared" si="97"/>
        <v>40887.94</v>
      </c>
      <c r="M57" s="71">
        <f t="shared" si="103"/>
        <v>40887.94</v>
      </c>
      <c r="N57" s="71">
        <f t="shared" si="104"/>
        <v>0</v>
      </c>
      <c r="O57" s="71">
        <f t="shared" si="105"/>
        <v>40887.94</v>
      </c>
      <c r="P57" s="71">
        <f t="shared" si="106"/>
        <v>0</v>
      </c>
      <c r="Q57" s="71">
        <f t="shared" si="23"/>
        <v>0</v>
      </c>
      <c r="R57" s="71">
        <f t="shared" si="24"/>
        <v>100</v>
      </c>
      <c r="S57" s="39">
        <f t="shared" si="25"/>
        <v>0</v>
      </c>
      <c r="T57" s="34">
        <f t="shared" si="7"/>
        <v>40887.94</v>
      </c>
      <c r="Y57" s="237">
        <f t="shared" si="5"/>
        <v>1</v>
      </c>
    </row>
    <row r="58" spans="1:25" customFormat="1" ht="38.25" x14ac:dyDescent="0.2">
      <c r="A58" s="42" t="s">
        <v>159</v>
      </c>
      <c r="B58" s="348">
        <v>5501885</v>
      </c>
      <c r="C58" s="42" t="s">
        <v>160</v>
      </c>
      <c r="D58" s="40" t="s">
        <v>77</v>
      </c>
      <c r="E58" s="363">
        <v>16454</v>
      </c>
      <c r="F58" s="103">
        <v>16453.999999999996</v>
      </c>
      <c r="G58" s="144"/>
      <c r="H58" s="103">
        <f t="shared" si="101"/>
        <v>16453.999999999996</v>
      </c>
      <c r="I58" s="368">
        <f t="shared" si="102"/>
        <v>0</v>
      </c>
      <c r="J58" s="368">
        <v>13.93</v>
      </c>
      <c r="K58" s="41">
        <f t="shared" si="96"/>
        <v>17</v>
      </c>
      <c r="L58" s="41">
        <f t="shared" si="97"/>
        <v>279718</v>
      </c>
      <c r="M58" s="71">
        <f t="shared" si="103"/>
        <v>279718</v>
      </c>
      <c r="N58" s="71">
        <f t="shared" si="104"/>
        <v>0</v>
      </c>
      <c r="O58" s="71">
        <f t="shared" si="105"/>
        <v>279718</v>
      </c>
      <c r="P58" s="71">
        <f t="shared" si="106"/>
        <v>0</v>
      </c>
      <c r="Q58" s="71">
        <f t="shared" si="23"/>
        <v>0</v>
      </c>
      <c r="R58" s="71">
        <f t="shared" si="24"/>
        <v>100</v>
      </c>
      <c r="S58" s="39">
        <f t="shared" si="25"/>
        <v>0</v>
      </c>
      <c r="T58" s="34">
        <f t="shared" si="7"/>
        <v>279718</v>
      </c>
      <c r="U58">
        <f>88000/K58</f>
        <v>5176.4705882352937</v>
      </c>
      <c r="Y58" s="237">
        <f t="shared" si="5"/>
        <v>1</v>
      </c>
    </row>
    <row r="59" spans="1:25" customFormat="1" ht="38.25" x14ac:dyDescent="0.2">
      <c r="A59" s="42" t="s">
        <v>162</v>
      </c>
      <c r="B59" s="348">
        <v>5915320</v>
      </c>
      <c r="C59" s="42" t="s">
        <v>163</v>
      </c>
      <c r="D59" s="40" t="s">
        <v>85</v>
      </c>
      <c r="E59" s="363">
        <v>6388.5</v>
      </c>
      <c r="F59" s="103">
        <v>4215.24</v>
      </c>
      <c r="G59" s="144"/>
      <c r="H59" s="103">
        <f t="shared" si="101"/>
        <v>4215.24</v>
      </c>
      <c r="I59" s="368">
        <f t="shared" si="102"/>
        <v>2173.2600000000002</v>
      </c>
      <c r="J59" s="368">
        <v>0.71</v>
      </c>
      <c r="K59" s="41">
        <f t="shared" si="96"/>
        <v>0.86</v>
      </c>
      <c r="L59" s="41">
        <f t="shared" si="97"/>
        <v>5494.11</v>
      </c>
      <c r="M59" s="71">
        <f t="shared" si="103"/>
        <v>3625.11</v>
      </c>
      <c r="N59" s="71">
        <f t="shared" si="104"/>
        <v>0</v>
      </c>
      <c r="O59" s="71">
        <f t="shared" si="105"/>
        <v>3625.11</v>
      </c>
      <c r="P59" s="71">
        <f t="shared" si="106"/>
        <v>1869</v>
      </c>
      <c r="Q59" s="71">
        <f t="shared" si="23"/>
        <v>0</v>
      </c>
      <c r="R59" s="71">
        <f t="shared" si="24"/>
        <v>65.981751366463357</v>
      </c>
      <c r="S59" s="39">
        <f t="shared" si="25"/>
        <v>34.018248633536643</v>
      </c>
      <c r="T59" s="34">
        <f t="shared" si="7"/>
        <v>3625.1099999999997</v>
      </c>
      <c r="Y59" s="237">
        <f t="shared" si="5"/>
        <v>0.65981751366463359</v>
      </c>
    </row>
    <row r="60" spans="1:25" customFormat="1" ht="12.75" x14ac:dyDescent="0.2">
      <c r="A60" s="345" t="s">
        <v>164</v>
      </c>
      <c r="B60" s="417" t="s">
        <v>165</v>
      </c>
      <c r="C60" s="417"/>
      <c r="D60" s="40" t="s">
        <v>77</v>
      </c>
      <c r="E60" s="363">
        <v>57918</v>
      </c>
      <c r="F60" s="103">
        <v>44156.771099999998</v>
      </c>
      <c r="G60" s="145"/>
      <c r="H60" s="103">
        <f t="shared" si="101"/>
        <v>44156.771099999998</v>
      </c>
      <c r="I60" s="368">
        <f t="shared" si="102"/>
        <v>13761.23</v>
      </c>
      <c r="J60" s="368">
        <v>4.66</v>
      </c>
      <c r="K60" s="41">
        <f t="shared" si="96"/>
        <v>5.69</v>
      </c>
      <c r="L60" s="41">
        <f t="shared" si="97"/>
        <v>329553.42</v>
      </c>
      <c r="M60" s="71">
        <f t="shared" si="103"/>
        <v>251252.03</v>
      </c>
      <c r="N60" s="71">
        <f t="shared" si="104"/>
        <v>0</v>
      </c>
      <c r="O60" s="71">
        <f t="shared" si="105"/>
        <v>251252.03</v>
      </c>
      <c r="P60" s="71">
        <f t="shared" si="106"/>
        <v>78301.399999999994</v>
      </c>
      <c r="Q60" s="71">
        <f t="shared" si="23"/>
        <v>0</v>
      </c>
      <c r="R60" s="71">
        <f t="shared" si="24"/>
        <v>76.240152506989617</v>
      </c>
      <c r="S60" s="39">
        <f t="shared" si="25"/>
        <v>23.759850527419804</v>
      </c>
      <c r="T60" s="34">
        <f t="shared" si="7"/>
        <v>251252.02</v>
      </c>
      <c r="Y60" s="237">
        <f t="shared" si="5"/>
        <v>0.76240152506989611</v>
      </c>
    </row>
    <row r="61" spans="1:25" customFormat="1" ht="12.75" x14ac:dyDescent="0.2">
      <c r="A61" s="54" t="s">
        <v>167</v>
      </c>
      <c r="B61" s="55"/>
      <c r="C61" s="54" t="s">
        <v>168</v>
      </c>
      <c r="D61" s="56"/>
      <c r="E61" s="366" t="s">
        <v>46</v>
      </c>
      <c r="F61" s="367"/>
      <c r="G61" s="367"/>
      <c r="H61" s="367"/>
      <c r="I61" s="367"/>
      <c r="J61" s="57" t="s">
        <v>46</v>
      </c>
      <c r="K61" s="58"/>
      <c r="L61" s="72">
        <f>L62</f>
        <v>2093699.4400000006</v>
      </c>
      <c r="M61" s="72">
        <f t="shared" ref="M61:P61" si="107">M62</f>
        <v>1214629.8399999999</v>
      </c>
      <c r="N61" s="72">
        <f t="shared" si="107"/>
        <v>12521.769999999999</v>
      </c>
      <c r="O61" s="72">
        <f t="shared" si="107"/>
        <v>1227151.5999999999</v>
      </c>
      <c r="P61" s="72">
        <f t="shared" si="107"/>
        <v>866549.64</v>
      </c>
      <c r="Q61" s="72">
        <f t="shared" si="23"/>
        <v>0.59806912877619123</v>
      </c>
      <c r="R61" s="72">
        <f t="shared" si="24"/>
        <v>58.611641029048535</v>
      </c>
      <c r="S61" s="60">
        <f t="shared" si="25"/>
        <v>41.388444943176737</v>
      </c>
      <c r="T61" s="34">
        <f t="shared" si="7"/>
        <v>1227149.8000000007</v>
      </c>
      <c r="Y61" s="237">
        <f t="shared" si="5"/>
        <v>0.58611641029048533</v>
      </c>
    </row>
    <row r="62" spans="1:25" customFormat="1" ht="12.75" x14ac:dyDescent="0.2">
      <c r="A62" s="47" t="s">
        <v>169</v>
      </c>
      <c r="B62" s="48"/>
      <c r="C62" s="47" t="s">
        <v>168</v>
      </c>
      <c r="D62" s="49"/>
      <c r="E62" s="364" t="s">
        <v>46</v>
      </c>
      <c r="F62" s="365"/>
      <c r="G62" s="365"/>
      <c r="H62" s="365"/>
      <c r="I62" s="365"/>
      <c r="J62" s="50" t="s">
        <v>46</v>
      </c>
      <c r="K62" s="51"/>
      <c r="L62" s="73">
        <f>L63+L72+L113+L120+L124</f>
        <v>2093699.4400000006</v>
      </c>
      <c r="M62" s="73">
        <f t="shared" ref="M62:P62" si="108">M63+M72+M113+M120+M124</f>
        <v>1214629.8399999999</v>
      </c>
      <c r="N62" s="73">
        <f t="shared" si="108"/>
        <v>12521.769999999999</v>
      </c>
      <c r="O62" s="73">
        <f t="shared" si="108"/>
        <v>1227151.5999999999</v>
      </c>
      <c r="P62" s="73">
        <f t="shared" si="108"/>
        <v>866549.64</v>
      </c>
      <c r="Q62" s="73">
        <f t="shared" si="23"/>
        <v>0.59806912877619123</v>
      </c>
      <c r="R62" s="73">
        <f t="shared" si="24"/>
        <v>58.611641029048535</v>
      </c>
      <c r="S62" s="53">
        <f t="shared" si="25"/>
        <v>41.388444943176737</v>
      </c>
      <c r="T62" s="34">
        <f t="shared" si="7"/>
        <v>1227149.8000000007</v>
      </c>
      <c r="Y62" s="237">
        <f t="shared" si="5"/>
        <v>0.58611641029048533</v>
      </c>
    </row>
    <row r="63" spans="1:25" customFormat="1" ht="12.75" x14ac:dyDescent="0.2">
      <c r="A63" s="65" t="s">
        <v>170</v>
      </c>
      <c r="B63" s="66"/>
      <c r="C63" s="65" t="s">
        <v>171</v>
      </c>
      <c r="D63" s="67"/>
      <c r="E63" s="369" t="s">
        <v>46</v>
      </c>
      <c r="F63" s="370"/>
      <c r="G63" s="370"/>
      <c r="H63" s="370"/>
      <c r="I63" s="370"/>
      <c r="J63" s="372" t="s">
        <v>46</v>
      </c>
      <c r="K63" s="68"/>
      <c r="L63" s="74">
        <f>SUM(L64:L71)</f>
        <v>164896.78</v>
      </c>
      <c r="M63" s="74">
        <f t="shared" ref="M63:P63" si="109">SUM(M64:M71)</f>
        <v>110904.45</v>
      </c>
      <c r="N63" s="74">
        <f t="shared" si="109"/>
        <v>11870.89</v>
      </c>
      <c r="O63" s="74">
        <f t="shared" si="109"/>
        <v>122775.34</v>
      </c>
      <c r="P63" s="74">
        <f t="shared" si="109"/>
        <v>42121.33</v>
      </c>
      <c r="Q63" s="74">
        <f t="shared" si="23"/>
        <v>7.1989822966828099</v>
      </c>
      <c r="R63" s="74">
        <f t="shared" si="24"/>
        <v>74.455874759955904</v>
      </c>
      <c r="S63" s="70">
        <f t="shared" si="25"/>
        <v>25.544058531646286</v>
      </c>
      <c r="T63" s="34">
        <f t="shared" si="7"/>
        <v>122775.45</v>
      </c>
      <c r="Y63" s="237">
        <f t="shared" si="5"/>
        <v>0.74455874759955898</v>
      </c>
    </row>
    <row r="64" spans="1:25" customFormat="1" ht="25.5" x14ac:dyDescent="0.2">
      <c r="A64" s="345" t="s">
        <v>172</v>
      </c>
      <c r="B64" s="348" t="s">
        <v>173</v>
      </c>
      <c r="C64" s="345" t="s">
        <v>174</v>
      </c>
      <c r="D64" s="40" t="s">
        <v>43</v>
      </c>
      <c r="E64" s="363">
        <v>1040</v>
      </c>
      <c r="F64" s="103">
        <v>1013.2</v>
      </c>
      <c r="G64" s="103"/>
      <c r="H64" s="103">
        <f t="shared" ref="H64" si="110">F64+G64</f>
        <v>1013.2</v>
      </c>
      <c r="I64" s="368">
        <f t="shared" ref="I64" si="111">ROUND(E64-H64,2)</f>
        <v>26.8</v>
      </c>
      <c r="J64" s="368">
        <v>31.47</v>
      </c>
      <c r="K64" s="41">
        <f t="shared" ref="K64:K71" si="112">TRUNC(J64*1.2211,2)</f>
        <v>38.42</v>
      </c>
      <c r="L64" s="41">
        <f t="shared" ref="L64:L71" si="113">TRUNC(E64*K64,2)</f>
        <v>39956.800000000003</v>
      </c>
      <c r="M64" s="71">
        <f t="shared" ref="M64" si="114">ROUND(F64*$K64,2)</f>
        <v>38927.14</v>
      </c>
      <c r="N64" s="71">
        <f t="shared" ref="N64" si="115">ROUND(G64*$K64,2)</f>
        <v>0</v>
      </c>
      <c r="O64" s="71">
        <f t="shared" ref="O64" si="116">ROUND(H64*$K64,2)</f>
        <v>38927.14</v>
      </c>
      <c r="P64" s="71">
        <f t="shared" ref="P64:P71" si="117">ROUND(I64*$K64,2)</f>
        <v>1029.6600000000001</v>
      </c>
      <c r="Q64" s="71">
        <f t="shared" si="23"/>
        <v>0</v>
      </c>
      <c r="R64" s="71">
        <f t="shared" si="24"/>
        <v>97.423066912265227</v>
      </c>
      <c r="S64" s="39">
        <f t="shared" si="25"/>
        <v>2.5769330877347536</v>
      </c>
      <c r="T64" s="34">
        <f t="shared" si="7"/>
        <v>38927.14</v>
      </c>
      <c r="Y64" s="237">
        <f t="shared" si="5"/>
        <v>0.97423066912265233</v>
      </c>
    </row>
    <row r="65" spans="1:25" customFormat="1" ht="12.75" x14ac:dyDescent="0.2">
      <c r="A65" s="345" t="s">
        <v>175</v>
      </c>
      <c r="B65" s="348" t="s">
        <v>176</v>
      </c>
      <c r="C65" s="345" t="s">
        <v>177</v>
      </c>
      <c r="D65" s="40" t="s">
        <v>178</v>
      </c>
      <c r="E65" s="363">
        <v>2329</v>
      </c>
      <c r="F65" s="103">
        <v>1799</v>
      </c>
      <c r="G65" s="103"/>
      <c r="H65" s="103">
        <f t="shared" ref="H65:H71" si="118">F65+G65</f>
        <v>1799</v>
      </c>
      <c r="I65" s="368">
        <f t="shared" ref="I65:I71" si="119">ROUND(E65-H65,2)</f>
        <v>530</v>
      </c>
      <c r="J65" s="368">
        <v>22</v>
      </c>
      <c r="K65" s="41">
        <f t="shared" si="112"/>
        <v>26.86</v>
      </c>
      <c r="L65" s="41">
        <f t="shared" si="113"/>
        <v>62556.94</v>
      </c>
      <c r="M65" s="71">
        <f t="shared" ref="M65:M71" si="120">ROUND(F65*$K65,2)</f>
        <v>48321.14</v>
      </c>
      <c r="N65" s="71">
        <f t="shared" ref="N65:N71" si="121">ROUND(G65*$K65,2)</f>
        <v>0</v>
      </c>
      <c r="O65" s="71">
        <f t="shared" ref="O65:O71" si="122">ROUND(H65*$K65,2)</f>
        <v>48321.14</v>
      </c>
      <c r="P65" s="71">
        <f t="shared" si="117"/>
        <v>14235.8</v>
      </c>
      <c r="Q65" s="71">
        <f t="shared" si="23"/>
        <v>0</v>
      </c>
      <c r="R65" s="71">
        <f t="shared" si="24"/>
        <v>77.243452125375683</v>
      </c>
      <c r="S65" s="39">
        <f t="shared" si="25"/>
        <v>22.7565478746243</v>
      </c>
      <c r="T65" s="34">
        <f t="shared" si="7"/>
        <v>48321.14</v>
      </c>
      <c r="Y65" s="237">
        <f t="shared" si="5"/>
        <v>0.77243452125375689</v>
      </c>
    </row>
    <row r="66" spans="1:25" customFormat="1" ht="25.5" x14ac:dyDescent="0.2">
      <c r="A66" s="345" t="s">
        <v>179</v>
      </c>
      <c r="B66" s="348" t="s">
        <v>180</v>
      </c>
      <c r="C66" s="345" t="s">
        <v>181</v>
      </c>
      <c r="D66" s="40" t="s">
        <v>77</v>
      </c>
      <c r="E66" s="363">
        <v>1240</v>
      </c>
      <c r="F66" s="103">
        <v>846.57000000000016</v>
      </c>
      <c r="G66" s="103">
        <f>36*1.8*1.8</f>
        <v>116.64</v>
      </c>
      <c r="H66" s="103">
        <f t="shared" si="118"/>
        <v>963.21000000000015</v>
      </c>
      <c r="I66" s="368">
        <f t="shared" si="119"/>
        <v>276.79000000000002</v>
      </c>
      <c r="J66" s="368">
        <v>9.73</v>
      </c>
      <c r="K66" s="41">
        <f t="shared" si="112"/>
        <v>11.88</v>
      </c>
      <c r="L66" s="41">
        <f t="shared" si="113"/>
        <v>14731.2</v>
      </c>
      <c r="M66" s="71">
        <f t="shared" si="120"/>
        <v>10057.25</v>
      </c>
      <c r="N66" s="71">
        <f t="shared" si="121"/>
        <v>1385.68</v>
      </c>
      <c r="O66" s="71">
        <f t="shared" si="122"/>
        <v>11442.93</v>
      </c>
      <c r="P66" s="71">
        <f t="shared" si="117"/>
        <v>3288.27</v>
      </c>
      <c r="Q66" s="71">
        <f t="shared" si="23"/>
        <v>9.4064298903008581</v>
      </c>
      <c r="R66" s="71">
        <f t="shared" si="24"/>
        <v>77.67819322254806</v>
      </c>
      <c r="S66" s="39">
        <f t="shared" si="25"/>
        <v>22.32180677745194</v>
      </c>
      <c r="T66" s="34">
        <f t="shared" si="7"/>
        <v>11442.93</v>
      </c>
      <c r="Y66" s="237">
        <f t="shared" si="5"/>
        <v>0.77678193222548064</v>
      </c>
    </row>
    <row r="67" spans="1:25" customFormat="1" ht="25.5" x14ac:dyDescent="0.2">
      <c r="A67" s="345" t="s">
        <v>182</v>
      </c>
      <c r="B67" s="348" t="s">
        <v>183</v>
      </c>
      <c r="C67" s="345" t="s">
        <v>184</v>
      </c>
      <c r="D67" s="40" t="s">
        <v>77</v>
      </c>
      <c r="E67" s="363">
        <v>153</v>
      </c>
      <c r="F67" s="103">
        <v>153</v>
      </c>
      <c r="G67" s="103"/>
      <c r="H67" s="103">
        <f t="shared" si="118"/>
        <v>153</v>
      </c>
      <c r="I67" s="368">
        <f t="shared" si="119"/>
        <v>0</v>
      </c>
      <c r="J67" s="368">
        <v>10.89</v>
      </c>
      <c r="K67" s="41">
        <f t="shared" si="112"/>
        <v>13.29</v>
      </c>
      <c r="L67" s="41">
        <f t="shared" si="113"/>
        <v>2033.37</v>
      </c>
      <c r="M67" s="71">
        <f t="shared" si="120"/>
        <v>2033.37</v>
      </c>
      <c r="N67" s="71">
        <f t="shared" si="121"/>
        <v>0</v>
      </c>
      <c r="O67" s="71">
        <f t="shared" si="122"/>
        <v>2033.37</v>
      </c>
      <c r="P67" s="71">
        <f t="shared" si="117"/>
        <v>0</v>
      </c>
      <c r="Q67" s="71">
        <f t="shared" si="23"/>
        <v>0</v>
      </c>
      <c r="R67" s="71">
        <f t="shared" si="24"/>
        <v>100</v>
      </c>
      <c r="S67" s="39">
        <f t="shared" si="25"/>
        <v>0</v>
      </c>
      <c r="T67" s="34">
        <f t="shared" si="7"/>
        <v>2033.37</v>
      </c>
      <c r="Y67" s="237">
        <f t="shared" si="5"/>
        <v>1</v>
      </c>
    </row>
    <row r="68" spans="1:25" customFormat="1" ht="12.75" x14ac:dyDescent="0.2">
      <c r="A68" s="345" t="s">
        <v>185</v>
      </c>
      <c r="B68" s="348" t="s">
        <v>186</v>
      </c>
      <c r="C68" s="345" t="s">
        <v>187</v>
      </c>
      <c r="D68" s="40" t="s">
        <v>77</v>
      </c>
      <c r="E68" s="363">
        <v>62</v>
      </c>
      <c r="F68" s="103">
        <v>56.438000000000002</v>
      </c>
      <c r="G68" s="103"/>
      <c r="H68" s="103">
        <f t="shared" si="118"/>
        <v>56.438000000000002</v>
      </c>
      <c r="I68" s="368">
        <f t="shared" si="119"/>
        <v>5.56</v>
      </c>
      <c r="J68" s="368">
        <v>46.2</v>
      </c>
      <c r="K68" s="41">
        <f t="shared" si="112"/>
        <v>56.41</v>
      </c>
      <c r="L68" s="41">
        <f t="shared" si="113"/>
        <v>3497.42</v>
      </c>
      <c r="M68" s="71">
        <f t="shared" si="120"/>
        <v>3183.67</v>
      </c>
      <c r="N68" s="71">
        <f t="shared" si="121"/>
        <v>0</v>
      </c>
      <c r="O68" s="71">
        <f t="shared" si="122"/>
        <v>3183.67</v>
      </c>
      <c r="P68" s="71">
        <f t="shared" si="117"/>
        <v>313.64</v>
      </c>
      <c r="Q68" s="71">
        <f t="shared" si="23"/>
        <v>0</v>
      </c>
      <c r="R68" s="71">
        <f t="shared" si="24"/>
        <v>91.029101451927417</v>
      </c>
      <c r="S68" s="39">
        <f t="shared" si="25"/>
        <v>8.967753372486003</v>
      </c>
      <c r="T68" s="34">
        <f t="shared" si="7"/>
        <v>3183.78</v>
      </c>
      <c r="Y68" s="237">
        <f t="shared" si="5"/>
        <v>0.91029101451927419</v>
      </c>
    </row>
    <row r="69" spans="1:25" customFormat="1" ht="25.5" x14ac:dyDescent="0.2">
      <c r="A69" s="345" t="s">
        <v>188</v>
      </c>
      <c r="B69" s="348" t="s">
        <v>189</v>
      </c>
      <c r="C69" s="345" t="s">
        <v>190</v>
      </c>
      <c r="D69" s="40" t="s">
        <v>77</v>
      </c>
      <c r="E69" s="363">
        <v>857</v>
      </c>
      <c r="F69" s="103">
        <v>451.61001999999996</v>
      </c>
      <c r="G69" s="103">
        <f>G66*1.25</f>
        <v>145.80000000000001</v>
      </c>
      <c r="H69" s="103">
        <f t="shared" si="118"/>
        <v>597.41002000000003</v>
      </c>
      <c r="I69" s="368">
        <f t="shared" si="119"/>
        <v>259.58999999999997</v>
      </c>
      <c r="J69" s="368">
        <v>15.2</v>
      </c>
      <c r="K69" s="41">
        <f t="shared" si="112"/>
        <v>18.559999999999999</v>
      </c>
      <c r="L69" s="41">
        <f t="shared" si="113"/>
        <v>15905.92</v>
      </c>
      <c r="M69" s="71">
        <f t="shared" si="120"/>
        <v>8381.8799999999992</v>
      </c>
      <c r="N69" s="71">
        <f t="shared" si="121"/>
        <v>2706.05</v>
      </c>
      <c r="O69" s="71">
        <f t="shared" si="122"/>
        <v>11087.93</v>
      </c>
      <c r="P69" s="71">
        <f t="shared" si="117"/>
        <v>4817.99</v>
      </c>
      <c r="Q69" s="71">
        <f t="shared" si="23"/>
        <v>17.012848046513501</v>
      </c>
      <c r="R69" s="71">
        <f t="shared" si="24"/>
        <v>69.709454090049491</v>
      </c>
      <c r="S69" s="39">
        <f t="shared" si="25"/>
        <v>30.290545909950506</v>
      </c>
      <c r="T69" s="34">
        <f t="shared" si="7"/>
        <v>11087.93</v>
      </c>
      <c r="Y69" s="237">
        <f t="shared" si="5"/>
        <v>0.69709454090049494</v>
      </c>
    </row>
    <row r="70" spans="1:25" customFormat="1" ht="12.75" x14ac:dyDescent="0.2">
      <c r="A70" s="345" t="s">
        <v>191</v>
      </c>
      <c r="B70" s="348" t="s">
        <v>192</v>
      </c>
      <c r="C70" s="345" t="s">
        <v>193</v>
      </c>
      <c r="D70" s="40" t="s">
        <v>77</v>
      </c>
      <c r="E70" s="363">
        <v>616</v>
      </c>
      <c r="F70" s="103">
        <v>0</v>
      </c>
      <c r="G70" s="103">
        <f>G66*1.25</f>
        <v>145.80000000000001</v>
      </c>
      <c r="H70" s="103">
        <f t="shared" si="118"/>
        <v>145.80000000000001</v>
      </c>
      <c r="I70" s="368">
        <f t="shared" si="119"/>
        <v>470.2</v>
      </c>
      <c r="J70" s="368">
        <v>1.04</v>
      </c>
      <c r="K70" s="41">
        <f t="shared" si="112"/>
        <v>1.26</v>
      </c>
      <c r="L70" s="41">
        <f t="shared" si="113"/>
        <v>776.16</v>
      </c>
      <c r="M70" s="71">
        <f t="shared" si="120"/>
        <v>0</v>
      </c>
      <c r="N70" s="71">
        <f t="shared" si="121"/>
        <v>183.71</v>
      </c>
      <c r="O70" s="71">
        <f t="shared" si="122"/>
        <v>183.71</v>
      </c>
      <c r="P70" s="71">
        <f t="shared" si="117"/>
        <v>592.45000000000005</v>
      </c>
      <c r="Q70" s="71">
        <f t="shared" si="23"/>
        <v>23.669088847660277</v>
      </c>
      <c r="R70" s="71">
        <f t="shared" si="24"/>
        <v>23.669088847660277</v>
      </c>
      <c r="S70" s="39">
        <f t="shared" si="25"/>
        <v>76.330911152339738</v>
      </c>
      <c r="T70" s="34">
        <f t="shared" si="7"/>
        <v>183.70999999999992</v>
      </c>
      <c r="Y70" s="237">
        <f t="shared" si="5"/>
        <v>0.23669088847660277</v>
      </c>
    </row>
    <row r="71" spans="1:25" customFormat="1" ht="25.5" x14ac:dyDescent="0.2">
      <c r="A71" s="345" t="s">
        <v>194</v>
      </c>
      <c r="B71" s="38"/>
      <c r="C71" s="345" t="s">
        <v>195</v>
      </c>
      <c r="D71" s="40" t="s">
        <v>85</v>
      </c>
      <c r="E71" s="363">
        <v>16847</v>
      </c>
      <c r="F71" s="103">
        <v>0</v>
      </c>
      <c r="G71" s="103">
        <f>G70*1.5*23</f>
        <v>5030.1000000000004</v>
      </c>
      <c r="H71" s="103">
        <f t="shared" si="118"/>
        <v>5030.1000000000004</v>
      </c>
      <c r="I71" s="368">
        <f t="shared" si="119"/>
        <v>11816.9</v>
      </c>
      <c r="J71" s="368">
        <v>1.24</v>
      </c>
      <c r="K71" s="41">
        <f t="shared" si="112"/>
        <v>1.51</v>
      </c>
      <c r="L71" s="41">
        <f t="shared" si="113"/>
        <v>25438.97</v>
      </c>
      <c r="M71" s="71">
        <f t="shared" si="120"/>
        <v>0</v>
      </c>
      <c r="N71" s="71">
        <f t="shared" si="121"/>
        <v>7595.45</v>
      </c>
      <c r="O71" s="71">
        <f t="shared" si="122"/>
        <v>7595.45</v>
      </c>
      <c r="P71" s="71">
        <f t="shared" si="117"/>
        <v>17843.52</v>
      </c>
      <c r="Q71" s="71">
        <f t="shared" si="23"/>
        <v>29.85753747105327</v>
      </c>
      <c r="R71" s="71">
        <f t="shared" si="24"/>
        <v>29.85753747105327</v>
      </c>
      <c r="S71" s="39">
        <f t="shared" si="25"/>
        <v>70.142462528946723</v>
      </c>
      <c r="T71" s="34">
        <f t="shared" si="7"/>
        <v>7595.4500000000007</v>
      </c>
      <c r="Y71" s="237">
        <f t="shared" si="5"/>
        <v>0.29857537471053269</v>
      </c>
    </row>
    <row r="72" spans="1:25" customFormat="1" ht="12.75" x14ac:dyDescent="0.2">
      <c r="A72" s="65" t="s">
        <v>196</v>
      </c>
      <c r="B72" s="66"/>
      <c r="C72" s="65" t="s">
        <v>197</v>
      </c>
      <c r="D72" s="67"/>
      <c r="E72" s="369" t="s">
        <v>46</v>
      </c>
      <c r="F72" s="370"/>
      <c r="G72" s="370"/>
      <c r="H72" s="370"/>
      <c r="I72" s="370"/>
      <c r="J72" s="372" t="s">
        <v>46</v>
      </c>
      <c r="K72" s="68"/>
      <c r="L72" s="74">
        <f>SUM(L73:L112)</f>
        <v>1448946.9300000004</v>
      </c>
      <c r="M72" s="74">
        <f t="shared" ref="M72:P72" si="123">SUM(M73:M112)</f>
        <v>1016690.0999999999</v>
      </c>
      <c r="N72" s="74">
        <f t="shared" si="123"/>
        <v>650.88</v>
      </c>
      <c r="O72" s="74">
        <f t="shared" si="123"/>
        <v>1017340.9699999999</v>
      </c>
      <c r="P72" s="74">
        <f t="shared" si="123"/>
        <v>431605.01</v>
      </c>
      <c r="Q72" s="74">
        <f t="shared" si="23"/>
        <v>4.4920899897969331E-2</v>
      </c>
      <c r="R72" s="74">
        <f t="shared" si="24"/>
        <v>70.212438353418477</v>
      </c>
      <c r="S72" s="70">
        <f t="shared" si="25"/>
        <v>29.78749608172329</v>
      </c>
      <c r="T72" s="34">
        <f t="shared" si="7"/>
        <v>1017341.9200000004</v>
      </c>
      <c r="Y72" s="237">
        <f t="shared" si="5"/>
        <v>0.70212438353418483</v>
      </c>
    </row>
    <row r="73" spans="1:25" s="134" customFormat="1" ht="25.5" x14ac:dyDescent="0.2">
      <c r="A73" s="345" t="s">
        <v>198</v>
      </c>
      <c r="B73" s="348">
        <v>2003319</v>
      </c>
      <c r="C73" s="345" t="s">
        <v>199</v>
      </c>
      <c r="D73" s="40" t="s">
        <v>57</v>
      </c>
      <c r="E73" s="143">
        <v>1861.6</v>
      </c>
      <c r="F73" s="144">
        <v>1861.6</v>
      </c>
      <c r="G73" s="144"/>
      <c r="H73" s="144">
        <f t="shared" ref="H73" si="124">F73+G73</f>
        <v>1861.6</v>
      </c>
      <c r="I73" s="145">
        <f t="shared" ref="I73" si="125">ROUND(E73-H73,2)</f>
        <v>0</v>
      </c>
      <c r="J73" s="145">
        <v>64.819999999999993</v>
      </c>
      <c r="K73" s="146">
        <f t="shared" ref="K73:K112" si="126">TRUNC(J73*1.2211,2)</f>
        <v>79.150000000000006</v>
      </c>
      <c r="L73" s="146">
        <f t="shared" ref="L73:L112" si="127">TRUNC(E73*K73,2)</f>
        <v>147345.64000000001</v>
      </c>
      <c r="M73" s="147">
        <f t="shared" ref="M73" si="128">ROUND(F73*$K73,2)</f>
        <v>147345.64000000001</v>
      </c>
      <c r="N73" s="147">
        <f t="shared" ref="N73" si="129">ROUND(G73*$K73,2)</f>
        <v>0</v>
      </c>
      <c r="O73" s="147">
        <f t="shared" ref="O73" si="130">ROUND(H73*$K73,2)</f>
        <v>147345.64000000001</v>
      </c>
      <c r="P73" s="147">
        <f t="shared" ref="P73" si="131">ROUND(I73*$K73,2)</f>
        <v>0</v>
      </c>
      <c r="Q73" s="147">
        <f t="shared" si="23"/>
        <v>0</v>
      </c>
      <c r="R73" s="147">
        <f t="shared" si="24"/>
        <v>100</v>
      </c>
      <c r="S73" s="148">
        <f t="shared" si="25"/>
        <v>0</v>
      </c>
      <c r="T73" s="133">
        <f t="shared" si="7"/>
        <v>147345.64000000001</v>
      </c>
      <c r="Y73" s="237">
        <f t="shared" si="5"/>
        <v>1</v>
      </c>
    </row>
    <row r="74" spans="1:25" s="134" customFormat="1" ht="25.5" x14ac:dyDescent="0.2">
      <c r="A74" s="345" t="s">
        <v>200</v>
      </c>
      <c r="B74" s="348">
        <v>2003323</v>
      </c>
      <c r="C74" s="345" t="s">
        <v>201</v>
      </c>
      <c r="D74" s="40" t="s">
        <v>57</v>
      </c>
      <c r="E74" s="143">
        <v>402</v>
      </c>
      <c r="F74" s="144">
        <v>402</v>
      </c>
      <c r="G74" s="144"/>
      <c r="H74" s="144">
        <f t="shared" ref="H74:H112" si="132">F74+G74</f>
        <v>402</v>
      </c>
      <c r="I74" s="145">
        <f t="shared" ref="I74:I112" si="133">ROUND(E74-H74,2)</f>
        <v>0</v>
      </c>
      <c r="J74" s="145">
        <v>47.51</v>
      </c>
      <c r="K74" s="146">
        <f t="shared" si="126"/>
        <v>58.01</v>
      </c>
      <c r="L74" s="146">
        <f t="shared" si="127"/>
        <v>23320.02</v>
      </c>
      <c r="M74" s="147">
        <f t="shared" ref="M74:M112" si="134">ROUND(F74*$K74,2)</f>
        <v>23320.02</v>
      </c>
      <c r="N74" s="147">
        <f t="shared" ref="N74:N112" si="135">ROUND(G74*$K74,2)</f>
        <v>0</v>
      </c>
      <c r="O74" s="147">
        <f t="shared" ref="O74:O112" si="136">ROUND(H74*$K74,2)</f>
        <v>23320.02</v>
      </c>
      <c r="P74" s="147">
        <f t="shared" ref="P74:P111" si="137">ROUND(I74*$K74,2)</f>
        <v>0</v>
      </c>
      <c r="Q74" s="147">
        <f t="shared" si="23"/>
        <v>0</v>
      </c>
      <c r="R74" s="147">
        <f t="shared" si="24"/>
        <v>100</v>
      </c>
      <c r="S74" s="148">
        <f t="shared" si="25"/>
        <v>0</v>
      </c>
      <c r="T74" s="133">
        <f t="shared" si="7"/>
        <v>23320.02</v>
      </c>
      <c r="Y74" s="237">
        <f t="shared" si="5"/>
        <v>1</v>
      </c>
    </row>
    <row r="75" spans="1:25" customFormat="1" ht="25.5" x14ac:dyDescent="0.2">
      <c r="A75" s="345" t="s">
        <v>202</v>
      </c>
      <c r="B75" s="38">
        <v>2003343</v>
      </c>
      <c r="C75" s="345" t="s">
        <v>203</v>
      </c>
      <c r="D75" s="40" t="s">
        <v>57</v>
      </c>
      <c r="E75" s="363">
        <v>112.5</v>
      </c>
      <c r="F75" s="103">
        <v>112.5</v>
      </c>
      <c r="G75" s="144"/>
      <c r="H75" s="103">
        <f t="shared" si="132"/>
        <v>112.5</v>
      </c>
      <c r="I75" s="368">
        <f t="shared" si="133"/>
        <v>0</v>
      </c>
      <c r="J75" s="368">
        <v>50.15</v>
      </c>
      <c r="K75" s="41">
        <f t="shared" si="126"/>
        <v>61.23</v>
      </c>
      <c r="L75" s="41">
        <f t="shared" si="127"/>
        <v>6888.37</v>
      </c>
      <c r="M75" s="71">
        <f t="shared" si="134"/>
        <v>6888.38</v>
      </c>
      <c r="N75" s="71">
        <f t="shared" si="135"/>
        <v>0</v>
      </c>
      <c r="O75" s="71">
        <f>ROUND(H75*$K75,2)-0.01</f>
        <v>6888.37</v>
      </c>
      <c r="P75" s="71">
        <f>L75-O75</f>
        <v>0</v>
      </c>
      <c r="Q75" s="71">
        <f t="shared" si="23"/>
        <v>0</v>
      </c>
      <c r="R75" s="71">
        <f t="shared" si="24"/>
        <v>100</v>
      </c>
      <c r="S75" s="39">
        <f t="shared" si="25"/>
        <v>0</v>
      </c>
      <c r="T75" s="34">
        <f t="shared" si="7"/>
        <v>6888.37</v>
      </c>
      <c r="Y75" s="237">
        <f t="shared" si="5"/>
        <v>1</v>
      </c>
    </row>
    <row r="76" spans="1:25" customFormat="1" ht="25.5" x14ac:dyDescent="0.2">
      <c r="A76" s="345" t="s">
        <v>204</v>
      </c>
      <c r="B76" s="38">
        <v>2003353</v>
      </c>
      <c r="C76" s="345" t="s">
        <v>205</v>
      </c>
      <c r="D76" s="40" t="s">
        <v>57</v>
      </c>
      <c r="E76" s="363">
        <v>210</v>
      </c>
      <c r="F76" s="103">
        <v>0</v>
      </c>
      <c r="G76" s="144"/>
      <c r="H76" s="103">
        <f t="shared" si="132"/>
        <v>0</v>
      </c>
      <c r="I76" s="368">
        <f t="shared" si="133"/>
        <v>210</v>
      </c>
      <c r="J76" s="368">
        <v>49.39</v>
      </c>
      <c r="K76" s="41">
        <f t="shared" si="126"/>
        <v>60.31</v>
      </c>
      <c r="L76" s="41">
        <f t="shared" si="127"/>
        <v>12665.1</v>
      </c>
      <c r="M76" s="71">
        <f t="shared" si="134"/>
        <v>0</v>
      </c>
      <c r="N76" s="71">
        <f t="shared" si="135"/>
        <v>0</v>
      </c>
      <c r="O76" s="71">
        <f t="shared" si="136"/>
        <v>0</v>
      </c>
      <c r="P76" s="71">
        <f t="shared" si="137"/>
        <v>12665.1</v>
      </c>
      <c r="Q76" s="71">
        <f t="shared" si="23"/>
        <v>0</v>
      </c>
      <c r="R76" s="71">
        <f t="shared" si="24"/>
        <v>0</v>
      </c>
      <c r="S76" s="39">
        <f t="shared" si="25"/>
        <v>100</v>
      </c>
      <c r="T76" s="34">
        <f t="shared" si="7"/>
        <v>0</v>
      </c>
      <c r="Y76" s="237">
        <f t="shared" si="5"/>
        <v>0</v>
      </c>
    </row>
    <row r="77" spans="1:25" customFormat="1" ht="25.5" x14ac:dyDescent="0.2">
      <c r="A77" s="345" t="s">
        <v>206</v>
      </c>
      <c r="B77" s="38">
        <v>2003355</v>
      </c>
      <c r="C77" s="345" t="s">
        <v>207</v>
      </c>
      <c r="D77" s="40" t="s">
        <v>57</v>
      </c>
      <c r="E77" s="363">
        <v>255</v>
      </c>
      <c r="F77" s="103">
        <v>0</v>
      </c>
      <c r="G77" s="144"/>
      <c r="H77" s="103">
        <f t="shared" si="132"/>
        <v>0</v>
      </c>
      <c r="I77" s="368">
        <f t="shared" si="133"/>
        <v>255</v>
      </c>
      <c r="J77" s="368">
        <v>66.86</v>
      </c>
      <c r="K77" s="41">
        <f t="shared" si="126"/>
        <v>81.64</v>
      </c>
      <c r="L77" s="41">
        <f t="shared" si="127"/>
        <v>20818.2</v>
      </c>
      <c r="M77" s="71">
        <f t="shared" si="134"/>
        <v>0</v>
      </c>
      <c r="N77" s="71">
        <f t="shared" si="135"/>
        <v>0</v>
      </c>
      <c r="O77" s="71">
        <f t="shared" si="136"/>
        <v>0</v>
      </c>
      <c r="P77" s="71">
        <f t="shared" si="137"/>
        <v>20818.2</v>
      </c>
      <c r="Q77" s="71">
        <f t="shared" si="23"/>
        <v>0</v>
      </c>
      <c r="R77" s="71">
        <f t="shared" si="24"/>
        <v>0</v>
      </c>
      <c r="S77" s="39">
        <f t="shared" si="25"/>
        <v>100</v>
      </c>
      <c r="T77" s="34">
        <f t="shared" si="7"/>
        <v>0</v>
      </c>
      <c r="Y77" s="237">
        <f t="shared" ref="Y77:Y140" si="138">O77/L77</f>
        <v>0</v>
      </c>
    </row>
    <row r="78" spans="1:25" customFormat="1" ht="25.5" x14ac:dyDescent="0.2">
      <c r="A78" s="345" t="s">
        <v>208</v>
      </c>
      <c r="B78" s="38">
        <v>2003307</v>
      </c>
      <c r="C78" s="345" t="s">
        <v>209</v>
      </c>
      <c r="D78" s="40" t="s">
        <v>57</v>
      </c>
      <c r="E78" s="363">
        <v>149</v>
      </c>
      <c r="F78" s="103">
        <v>117</v>
      </c>
      <c r="G78" s="144"/>
      <c r="H78" s="103">
        <f t="shared" si="132"/>
        <v>117</v>
      </c>
      <c r="I78" s="368">
        <f t="shared" si="133"/>
        <v>32</v>
      </c>
      <c r="J78" s="368">
        <v>97.46</v>
      </c>
      <c r="K78" s="41">
        <f t="shared" si="126"/>
        <v>119</v>
      </c>
      <c r="L78" s="41">
        <f t="shared" si="127"/>
        <v>17731</v>
      </c>
      <c r="M78" s="71">
        <f t="shared" si="134"/>
        <v>13923</v>
      </c>
      <c r="N78" s="71">
        <f t="shared" si="135"/>
        <v>0</v>
      </c>
      <c r="O78" s="71">
        <f t="shared" si="136"/>
        <v>13923</v>
      </c>
      <c r="P78" s="71">
        <f t="shared" si="137"/>
        <v>3808</v>
      </c>
      <c r="Q78" s="71">
        <f t="shared" si="23"/>
        <v>0</v>
      </c>
      <c r="R78" s="71">
        <f t="shared" si="24"/>
        <v>78.523489932885909</v>
      </c>
      <c r="S78" s="39">
        <f t="shared" si="25"/>
        <v>21.476510067114095</v>
      </c>
      <c r="T78" s="34">
        <f t="shared" ref="T78:T141" si="139">L78-P78</f>
        <v>13923</v>
      </c>
      <c r="Y78" s="237">
        <f t="shared" si="138"/>
        <v>0.78523489932885904</v>
      </c>
    </row>
    <row r="79" spans="1:25" s="134" customFormat="1" ht="25.5" x14ac:dyDescent="0.2">
      <c r="A79" s="345" t="s">
        <v>210</v>
      </c>
      <c r="B79" s="348">
        <v>2003373</v>
      </c>
      <c r="C79" s="345" t="s">
        <v>211</v>
      </c>
      <c r="D79" s="40" t="s">
        <v>57</v>
      </c>
      <c r="E79" s="143">
        <v>3450.2</v>
      </c>
      <c r="F79" s="144">
        <v>0</v>
      </c>
      <c r="G79" s="144"/>
      <c r="H79" s="144">
        <f t="shared" si="132"/>
        <v>0</v>
      </c>
      <c r="I79" s="145">
        <f t="shared" si="133"/>
        <v>3450.2</v>
      </c>
      <c r="J79" s="145">
        <v>24.92</v>
      </c>
      <c r="K79" s="146">
        <f t="shared" si="126"/>
        <v>30.42</v>
      </c>
      <c r="L79" s="146">
        <f t="shared" si="127"/>
        <v>104955.08</v>
      </c>
      <c r="M79" s="147">
        <f t="shared" si="134"/>
        <v>0</v>
      </c>
      <c r="N79" s="147">
        <f t="shared" si="135"/>
        <v>0</v>
      </c>
      <c r="O79" s="147">
        <f t="shared" si="136"/>
        <v>0</v>
      </c>
      <c r="P79" s="147">
        <f t="shared" si="137"/>
        <v>104955.08</v>
      </c>
      <c r="Q79" s="147">
        <f t="shared" si="23"/>
        <v>0</v>
      </c>
      <c r="R79" s="147">
        <f t="shared" si="24"/>
        <v>0</v>
      </c>
      <c r="S79" s="148">
        <f t="shared" si="25"/>
        <v>100</v>
      </c>
      <c r="T79" s="133">
        <f t="shared" si="139"/>
        <v>0</v>
      </c>
      <c r="Y79" s="237">
        <f t="shared" si="138"/>
        <v>0</v>
      </c>
    </row>
    <row r="80" spans="1:25" s="134" customFormat="1" ht="25.5" x14ac:dyDescent="0.2">
      <c r="A80" s="345" t="s">
        <v>212</v>
      </c>
      <c r="B80" s="348">
        <v>2003377</v>
      </c>
      <c r="C80" s="345" t="s">
        <v>213</v>
      </c>
      <c r="D80" s="40" t="s">
        <v>57</v>
      </c>
      <c r="E80" s="143">
        <v>1432</v>
      </c>
      <c r="F80" s="144">
        <v>1432</v>
      </c>
      <c r="G80" s="144"/>
      <c r="H80" s="144">
        <f t="shared" si="132"/>
        <v>1432</v>
      </c>
      <c r="I80" s="145">
        <f t="shared" si="133"/>
        <v>0</v>
      </c>
      <c r="J80" s="145">
        <v>21.8</v>
      </c>
      <c r="K80" s="146">
        <f t="shared" si="126"/>
        <v>26.61</v>
      </c>
      <c r="L80" s="146">
        <f t="shared" si="127"/>
        <v>38105.519999999997</v>
      </c>
      <c r="M80" s="147">
        <f t="shared" si="134"/>
        <v>38105.519999999997</v>
      </c>
      <c r="N80" s="147">
        <f t="shared" si="135"/>
        <v>0</v>
      </c>
      <c r="O80" s="147">
        <f t="shared" si="136"/>
        <v>38105.519999999997</v>
      </c>
      <c r="P80" s="147">
        <f t="shared" si="137"/>
        <v>0</v>
      </c>
      <c r="Q80" s="147">
        <f t="shared" si="23"/>
        <v>0</v>
      </c>
      <c r="R80" s="147">
        <f t="shared" si="24"/>
        <v>100</v>
      </c>
      <c r="S80" s="148">
        <f t="shared" si="25"/>
        <v>0</v>
      </c>
      <c r="T80" s="133">
        <f t="shared" si="139"/>
        <v>38105.519999999997</v>
      </c>
      <c r="Y80" s="237">
        <f t="shared" si="138"/>
        <v>1</v>
      </c>
    </row>
    <row r="81" spans="1:25" s="134" customFormat="1" ht="25.5" x14ac:dyDescent="0.2">
      <c r="A81" s="345" t="s">
        <v>214</v>
      </c>
      <c r="B81" s="348">
        <v>2003385</v>
      </c>
      <c r="C81" s="345" t="s">
        <v>215</v>
      </c>
      <c r="D81" s="40" t="s">
        <v>216</v>
      </c>
      <c r="E81" s="143">
        <v>53</v>
      </c>
      <c r="F81" s="144">
        <v>25</v>
      </c>
      <c r="G81" s="144">
        <f>'DRENAGEM SUPERFICIAL - BM 15 CT'!I4</f>
        <v>12</v>
      </c>
      <c r="H81" s="144">
        <f t="shared" si="132"/>
        <v>37</v>
      </c>
      <c r="I81" s="145">
        <f t="shared" si="133"/>
        <v>16</v>
      </c>
      <c r="J81" s="145">
        <v>44.42</v>
      </c>
      <c r="K81" s="146">
        <f t="shared" si="126"/>
        <v>54.24</v>
      </c>
      <c r="L81" s="146">
        <f t="shared" si="127"/>
        <v>2874.72</v>
      </c>
      <c r="M81" s="147">
        <f t="shared" si="134"/>
        <v>1356</v>
      </c>
      <c r="N81" s="147">
        <f t="shared" si="135"/>
        <v>650.88</v>
      </c>
      <c r="O81" s="147">
        <f t="shared" si="136"/>
        <v>2006.88</v>
      </c>
      <c r="P81" s="147">
        <f t="shared" si="137"/>
        <v>867.84</v>
      </c>
      <c r="Q81" s="147">
        <f t="shared" si="23"/>
        <v>22.641509433962266</v>
      </c>
      <c r="R81" s="147">
        <f t="shared" si="24"/>
        <v>69.811320754716988</v>
      </c>
      <c r="S81" s="148">
        <f t="shared" si="25"/>
        <v>30.188679245283023</v>
      </c>
      <c r="T81" s="133">
        <f t="shared" si="139"/>
        <v>2006.8799999999997</v>
      </c>
      <c r="Y81" s="237">
        <f t="shared" si="138"/>
        <v>0.69811320754716988</v>
      </c>
    </row>
    <row r="82" spans="1:25" customFormat="1" ht="25.5" x14ac:dyDescent="0.2">
      <c r="A82" s="345" t="s">
        <v>217</v>
      </c>
      <c r="B82" s="38">
        <v>2003387</v>
      </c>
      <c r="C82" s="345" t="s">
        <v>218</v>
      </c>
      <c r="D82" s="40" t="s">
        <v>216</v>
      </c>
      <c r="E82" s="363">
        <v>13</v>
      </c>
      <c r="F82" s="103">
        <v>5</v>
      </c>
      <c r="G82" s="304"/>
      <c r="H82" s="103">
        <f t="shared" si="132"/>
        <v>5</v>
      </c>
      <c r="I82" s="368">
        <f t="shared" si="133"/>
        <v>8</v>
      </c>
      <c r="J82" s="368">
        <v>54.61</v>
      </c>
      <c r="K82" s="41">
        <f t="shared" si="126"/>
        <v>66.680000000000007</v>
      </c>
      <c r="L82" s="41">
        <f t="shared" si="127"/>
        <v>866.84</v>
      </c>
      <c r="M82" s="71">
        <f t="shared" si="134"/>
        <v>333.4</v>
      </c>
      <c r="N82" s="71">
        <f t="shared" si="135"/>
        <v>0</v>
      </c>
      <c r="O82" s="71">
        <f t="shared" si="136"/>
        <v>333.4</v>
      </c>
      <c r="P82" s="71">
        <f t="shared" si="137"/>
        <v>533.44000000000005</v>
      </c>
      <c r="Q82" s="71">
        <f t="shared" si="23"/>
        <v>0</v>
      </c>
      <c r="R82" s="71">
        <f t="shared" si="24"/>
        <v>38.46153846153846</v>
      </c>
      <c r="S82" s="39">
        <f t="shared" si="25"/>
        <v>61.53846153846154</v>
      </c>
      <c r="T82" s="34">
        <f t="shared" si="139"/>
        <v>333.4</v>
      </c>
      <c r="Y82" s="237">
        <f t="shared" si="138"/>
        <v>0.38461538461538458</v>
      </c>
    </row>
    <row r="83" spans="1:25" customFormat="1" ht="25.5" x14ac:dyDescent="0.2">
      <c r="A83" s="345" t="s">
        <v>219</v>
      </c>
      <c r="B83" s="38">
        <v>2003361</v>
      </c>
      <c r="C83" s="345" t="s">
        <v>220</v>
      </c>
      <c r="D83" s="40" t="s">
        <v>57</v>
      </c>
      <c r="E83" s="363">
        <v>163</v>
      </c>
      <c r="F83" s="103">
        <v>0</v>
      </c>
      <c r="G83" s="304"/>
      <c r="H83" s="103">
        <f t="shared" si="132"/>
        <v>0</v>
      </c>
      <c r="I83" s="368">
        <f t="shared" si="133"/>
        <v>163</v>
      </c>
      <c r="J83" s="368">
        <v>511.23</v>
      </c>
      <c r="K83" s="41">
        <f t="shared" si="126"/>
        <v>624.26</v>
      </c>
      <c r="L83" s="41">
        <f t="shared" si="127"/>
        <v>101754.38</v>
      </c>
      <c r="M83" s="71">
        <f t="shared" si="134"/>
        <v>0</v>
      </c>
      <c r="N83" s="71">
        <f t="shared" si="135"/>
        <v>0</v>
      </c>
      <c r="O83" s="71">
        <f t="shared" si="136"/>
        <v>0</v>
      </c>
      <c r="P83" s="71">
        <f t="shared" si="137"/>
        <v>101754.38</v>
      </c>
      <c r="Q83" s="71">
        <f t="shared" si="23"/>
        <v>0</v>
      </c>
      <c r="R83" s="71">
        <f t="shared" si="24"/>
        <v>0</v>
      </c>
      <c r="S83" s="39">
        <f t="shared" si="25"/>
        <v>100</v>
      </c>
      <c r="T83" s="34">
        <f t="shared" si="139"/>
        <v>0</v>
      </c>
      <c r="Y83" s="237">
        <f t="shared" si="138"/>
        <v>0</v>
      </c>
    </row>
    <row r="84" spans="1:25" customFormat="1" ht="25.5" x14ac:dyDescent="0.2">
      <c r="A84" s="345" t="s">
        <v>221</v>
      </c>
      <c r="B84" s="348">
        <v>2003407</v>
      </c>
      <c r="C84" s="42" t="s">
        <v>222</v>
      </c>
      <c r="D84" s="40" t="s">
        <v>57</v>
      </c>
      <c r="E84" s="363">
        <v>212</v>
      </c>
      <c r="F84" s="103">
        <v>36</v>
      </c>
      <c r="G84" s="304"/>
      <c r="H84" s="103">
        <f t="shared" si="132"/>
        <v>36</v>
      </c>
      <c r="I84" s="368">
        <f t="shared" si="133"/>
        <v>176</v>
      </c>
      <c r="J84" s="368">
        <v>241.23</v>
      </c>
      <c r="K84" s="41">
        <f t="shared" si="126"/>
        <v>294.56</v>
      </c>
      <c r="L84" s="41">
        <f t="shared" si="127"/>
        <v>62446.720000000001</v>
      </c>
      <c r="M84" s="71">
        <f t="shared" si="134"/>
        <v>10604.16</v>
      </c>
      <c r="N84" s="71">
        <f t="shared" si="135"/>
        <v>0</v>
      </c>
      <c r="O84" s="71">
        <f t="shared" si="136"/>
        <v>10604.16</v>
      </c>
      <c r="P84" s="71">
        <f t="shared" si="137"/>
        <v>51842.559999999998</v>
      </c>
      <c r="Q84" s="71">
        <f t="shared" si="23"/>
        <v>0</v>
      </c>
      <c r="R84" s="71">
        <f t="shared" si="24"/>
        <v>16.981132075471699</v>
      </c>
      <c r="S84" s="39">
        <f t="shared" si="25"/>
        <v>83.018867924528294</v>
      </c>
      <c r="T84" s="34">
        <f t="shared" si="139"/>
        <v>10604.160000000003</v>
      </c>
      <c r="Y84" s="237">
        <f t="shared" si="138"/>
        <v>0.16981132075471697</v>
      </c>
    </row>
    <row r="85" spans="1:25" customFormat="1" ht="25.5" x14ac:dyDescent="0.2">
      <c r="A85" s="42" t="s">
        <v>223</v>
      </c>
      <c r="B85" s="38">
        <v>2003393</v>
      </c>
      <c r="C85" s="43" t="s">
        <v>224</v>
      </c>
      <c r="D85" s="40" t="s">
        <v>57</v>
      </c>
      <c r="E85" s="363">
        <v>61.5</v>
      </c>
      <c r="F85" s="368">
        <v>61.498699999999999</v>
      </c>
      <c r="G85" s="145"/>
      <c r="H85" s="103">
        <f t="shared" si="132"/>
        <v>61.498699999999999</v>
      </c>
      <c r="I85" s="368">
        <f t="shared" si="133"/>
        <v>0</v>
      </c>
      <c r="J85" s="368">
        <v>218.87</v>
      </c>
      <c r="K85" s="41">
        <f t="shared" si="126"/>
        <v>267.26</v>
      </c>
      <c r="L85" s="41">
        <f t="shared" si="127"/>
        <v>16436.490000000002</v>
      </c>
      <c r="M85" s="71">
        <f t="shared" si="134"/>
        <v>16436.14</v>
      </c>
      <c r="N85" s="71">
        <f t="shared" si="135"/>
        <v>0</v>
      </c>
      <c r="O85" s="71">
        <f t="shared" si="136"/>
        <v>16436.14</v>
      </c>
      <c r="P85" s="71">
        <f t="shared" si="137"/>
        <v>0</v>
      </c>
      <c r="Q85" s="71">
        <f t="shared" si="23"/>
        <v>0</v>
      </c>
      <c r="R85" s="71">
        <f t="shared" si="24"/>
        <v>99.997870591592232</v>
      </c>
      <c r="S85" s="39">
        <f t="shared" si="25"/>
        <v>0</v>
      </c>
      <c r="T85" s="34">
        <f t="shared" si="139"/>
        <v>16436.490000000002</v>
      </c>
      <c r="Y85" s="237">
        <f t="shared" si="138"/>
        <v>0.99997870591592231</v>
      </c>
    </row>
    <row r="86" spans="1:25" customFormat="1" ht="25.5" x14ac:dyDescent="0.2">
      <c r="A86" s="42" t="s">
        <v>225</v>
      </c>
      <c r="B86" s="38">
        <v>2003449</v>
      </c>
      <c r="C86" s="43" t="s">
        <v>226</v>
      </c>
      <c r="D86" s="40" t="s">
        <v>216</v>
      </c>
      <c r="E86" s="363">
        <v>30</v>
      </c>
      <c r="F86" s="103">
        <v>6</v>
      </c>
      <c r="G86" s="144"/>
      <c r="H86" s="103">
        <f t="shared" si="132"/>
        <v>6</v>
      </c>
      <c r="I86" s="368">
        <f t="shared" si="133"/>
        <v>24</v>
      </c>
      <c r="J86" s="368">
        <v>388.49</v>
      </c>
      <c r="K86" s="41">
        <f t="shared" si="126"/>
        <v>474.38</v>
      </c>
      <c r="L86" s="41">
        <f t="shared" si="127"/>
        <v>14231.4</v>
      </c>
      <c r="M86" s="71">
        <f t="shared" si="134"/>
        <v>2846.28</v>
      </c>
      <c r="N86" s="71">
        <f t="shared" si="135"/>
        <v>0</v>
      </c>
      <c r="O86" s="71">
        <f t="shared" si="136"/>
        <v>2846.28</v>
      </c>
      <c r="P86" s="71">
        <f t="shared" si="137"/>
        <v>11385.12</v>
      </c>
      <c r="Q86" s="71">
        <f t="shared" si="23"/>
        <v>0</v>
      </c>
      <c r="R86" s="71">
        <f t="shared" si="24"/>
        <v>20</v>
      </c>
      <c r="S86" s="39">
        <f t="shared" si="25"/>
        <v>80</v>
      </c>
      <c r="T86" s="34">
        <f t="shared" si="139"/>
        <v>2846.2799999999988</v>
      </c>
      <c r="Y86" s="237">
        <f t="shared" si="138"/>
        <v>0.2</v>
      </c>
    </row>
    <row r="87" spans="1:25" customFormat="1" ht="25.5" x14ac:dyDescent="0.2">
      <c r="A87" s="42" t="s">
        <v>227</v>
      </c>
      <c r="B87" s="38">
        <v>2003451</v>
      </c>
      <c r="C87" s="43" t="s">
        <v>228</v>
      </c>
      <c r="D87" s="40" t="s">
        <v>216</v>
      </c>
      <c r="E87" s="363">
        <v>26</v>
      </c>
      <c r="F87" s="103">
        <v>8</v>
      </c>
      <c r="G87" s="144"/>
      <c r="H87" s="103">
        <f t="shared" si="132"/>
        <v>8</v>
      </c>
      <c r="I87" s="368">
        <f t="shared" si="133"/>
        <v>18</v>
      </c>
      <c r="J87" s="368">
        <v>399.25</v>
      </c>
      <c r="K87" s="41">
        <f t="shared" si="126"/>
        <v>487.52</v>
      </c>
      <c r="L87" s="41">
        <f t="shared" si="127"/>
        <v>12675.52</v>
      </c>
      <c r="M87" s="71">
        <f t="shared" si="134"/>
        <v>3900.16</v>
      </c>
      <c r="N87" s="71">
        <f t="shared" si="135"/>
        <v>0</v>
      </c>
      <c r="O87" s="71">
        <f t="shared" si="136"/>
        <v>3900.16</v>
      </c>
      <c r="P87" s="71">
        <f t="shared" si="137"/>
        <v>8775.36</v>
      </c>
      <c r="Q87" s="71">
        <f t="shared" ref="Q87:Q150" si="140">N87/L87*100</f>
        <v>0</v>
      </c>
      <c r="R87" s="71">
        <f t="shared" ref="R87:R150" si="141">O87/L87*100</f>
        <v>30.769230769230766</v>
      </c>
      <c r="S87" s="39">
        <f t="shared" ref="S87:S150" si="142">P87/L87*100</f>
        <v>69.230769230769226</v>
      </c>
      <c r="T87" s="34">
        <f t="shared" si="139"/>
        <v>3900.16</v>
      </c>
      <c r="Y87" s="237">
        <f t="shared" si="138"/>
        <v>0.30769230769230765</v>
      </c>
    </row>
    <row r="88" spans="1:25" customFormat="1" ht="25.5" x14ac:dyDescent="0.2">
      <c r="A88" s="42" t="s">
        <v>229</v>
      </c>
      <c r="B88" s="38">
        <v>2003453</v>
      </c>
      <c r="C88" s="43" t="s">
        <v>230</v>
      </c>
      <c r="D88" s="40" t="s">
        <v>216</v>
      </c>
      <c r="E88" s="363">
        <v>2</v>
      </c>
      <c r="F88" s="103">
        <v>0</v>
      </c>
      <c r="G88" s="304"/>
      <c r="H88" s="103">
        <f t="shared" si="132"/>
        <v>0</v>
      </c>
      <c r="I88" s="368">
        <f t="shared" si="133"/>
        <v>2</v>
      </c>
      <c r="J88" s="368">
        <v>1221.17</v>
      </c>
      <c r="K88" s="41">
        <f t="shared" si="126"/>
        <v>1491.17</v>
      </c>
      <c r="L88" s="41">
        <f t="shared" si="127"/>
        <v>2982.34</v>
      </c>
      <c r="M88" s="71">
        <f t="shared" si="134"/>
        <v>0</v>
      </c>
      <c r="N88" s="71">
        <f t="shared" si="135"/>
        <v>0</v>
      </c>
      <c r="O88" s="71">
        <f t="shared" si="136"/>
        <v>0</v>
      </c>
      <c r="P88" s="71">
        <f t="shared" si="137"/>
        <v>2982.34</v>
      </c>
      <c r="Q88" s="71">
        <f t="shared" si="140"/>
        <v>0</v>
      </c>
      <c r="R88" s="71">
        <f t="shared" si="141"/>
        <v>0</v>
      </c>
      <c r="S88" s="39">
        <f t="shared" si="142"/>
        <v>100</v>
      </c>
      <c r="T88" s="34">
        <f t="shared" si="139"/>
        <v>0</v>
      </c>
      <c r="Y88" s="237">
        <f t="shared" si="138"/>
        <v>0</v>
      </c>
    </row>
    <row r="89" spans="1:25" customFormat="1" ht="25.5" x14ac:dyDescent="0.2">
      <c r="A89" s="42" t="s">
        <v>231</v>
      </c>
      <c r="B89" s="38">
        <v>2003455</v>
      </c>
      <c r="C89" s="43" t="s">
        <v>232</v>
      </c>
      <c r="D89" s="40" t="s">
        <v>216</v>
      </c>
      <c r="E89" s="363">
        <v>6</v>
      </c>
      <c r="F89" s="103">
        <v>4</v>
      </c>
      <c r="G89" s="144"/>
      <c r="H89" s="103">
        <f t="shared" si="132"/>
        <v>4</v>
      </c>
      <c r="I89" s="368">
        <f t="shared" si="133"/>
        <v>2</v>
      </c>
      <c r="J89" s="368">
        <v>1729.7</v>
      </c>
      <c r="K89" s="41">
        <f t="shared" si="126"/>
        <v>2112.13</v>
      </c>
      <c r="L89" s="41">
        <f t="shared" si="127"/>
        <v>12672.78</v>
      </c>
      <c r="M89" s="71">
        <f t="shared" si="134"/>
        <v>8448.52</v>
      </c>
      <c r="N89" s="71">
        <f t="shared" si="135"/>
        <v>0</v>
      </c>
      <c r="O89" s="71">
        <f t="shared" si="136"/>
        <v>8448.52</v>
      </c>
      <c r="P89" s="71">
        <f t="shared" si="137"/>
        <v>4224.26</v>
      </c>
      <c r="Q89" s="71">
        <f t="shared" si="140"/>
        <v>0</v>
      </c>
      <c r="R89" s="71">
        <f t="shared" si="141"/>
        <v>66.666666666666657</v>
      </c>
      <c r="S89" s="39">
        <f t="shared" si="142"/>
        <v>33.333333333333329</v>
      </c>
      <c r="T89" s="34">
        <f t="shared" si="139"/>
        <v>8448.52</v>
      </c>
      <c r="Y89" s="237">
        <f t="shared" si="138"/>
        <v>0.66666666666666663</v>
      </c>
    </row>
    <row r="90" spans="1:25" customFormat="1" ht="25.5" x14ac:dyDescent="0.2">
      <c r="A90" s="42" t="s">
        <v>233</v>
      </c>
      <c r="B90" s="38">
        <v>2003459</v>
      </c>
      <c r="C90" s="43" t="s">
        <v>234</v>
      </c>
      <c r="D90" s="40" t="s">
        <v>216</v>
      </c>
      <c r="E90" s="363">
        <v>13</v>
      </c>
      <c r="F90" s="103">
        <v>2</v>
      </c>
      <c r="G90" s="144"/>
      <c r="H90" s="103">
        <f t="shared" si="132"/>
        <v>2</v>
      </c>
      <c r="I90" s="368">
        <f t="shared" si="133"/>
        <v>11</v>
      </c>
      <c r="J90" s="368">
        <v>2946.95</v>
      </c>
      <c r="K90" s="41">
        <f t="shared" si="126"/>
        <v>3598.52</v>
      </c>
      <c r="L90" s="41">
        <f t="shared" si="127"/>
        <v>46780.76</v>
      </c>
      <c r="M90" s="71">
        <f t="shared" si="134"/>
        <v>7197.04</v>
      </c>
      <c r="N90" s="71">
        <f t="shared" si="135"/>
        <v>0</v>
      </c>
      <c r="O90" s="71">
        <f t="shared" si="136"/>
        <v>7197.04</v>
      </c>
      <c r="P90" s="71">
        <f t="shared" si="137"/>
        <v>39583.72</v>
      </c>
      <c r="Q90" s="71">
        <f t="shared" si="140"/>
        <v>0</v>
      </c>
      <c r="R90" s="71">
        <f t="shared" si="141"/>
        <v>15.384615384615383</v>
      </c>
      <c r="S90" s="39">
        <f t="shared" si="142"/>
        <v>84.615384615384613</v>
      </c>
      <c r="T90" s="34">
        <f t="shared" si="139"/>
        <v>7197.0400000000009</v>
      </c>
      <c r="Y90" s="237">
        <f t="shared" si="138"/>
        <v>0.15384615384615383</v>
      </c>
    </row>
    <row r="91" spans="1:25" customFormat="1" ht="25.5" x14ac:dyDescent="0.2">
      <c r="A91" s="42" t="s">
        <v>235</v>
      </c>
      <c r="B91" s="38">
        <v>2003465</v>
      </c>
      <c r="C91" s="43" t="s">
        <v>236</v>
      </c>
      <c r="D91" s="40" t="s">
        <v>216</v>
      </c>
      <c r="E91" s="363">
        <v>1</v>
      </c>
      <c r="F91" s="103">
        <v>0</v>
      </c>
      <c r="G91" s="144"/>
      <c r="H91" s="103">
        <f t="shared" si="132"/>
        <v>0</v>
      </c>
      <c r="I91" s="368">
        <f t="shared" si="133"/>
        <v>1</v>
      </c>
      <c r="J91" s="368">
        <v>3844.08</v>
      </c>
      <c r="K91" s="41">
        <f t="shared" si="126"/>
        <v>4694</v>
      </c>
      <c r="L91" s="41">
        <f t="shared" si="127"/>
        <v>4694</v>
      </c>
      <c r="M91" s="71">
        <f t="shared" si="134"/>
        <v>0</v>
      </c>
      <c r="N91" s="71">
        <f t="shared" si="135"/>
        <v>0</v>
      </c>
      <c r="O91" s="71">
        <f t="shared" si="136"/>
        <v>0</v>
      </c>
      <c r="P91" s="71">
        <f t="shared" si="137"/>
        <v>4694</v>
      </c>
      <c r="Q91" s="71">
        <f t="shared" si="140"/>
        <v>0</v>
      </c>
      <c r="R91" s="71">
        <f t="shared" si="141"/>
        <v>0</v>
      </c>
      <c r="S91" s="39">
        <f t="shared" si="142"/>
        <v>100</v>
      </c>
      <c r="T91" s="34">
        <f t="shared" si="139"/>
        <v>0</v>
      </c>
      <c r="Y91" s="237">
        <f t="shared" si="138"/>
        <v>0</v>
      </c>
    </row>
    <row r="92" spans="1:25" customFormat="1" ht="25.5" x14ac:dyDescent="0.2">
      <c r="A92" s="42" t="s">
        <v>237</v>
      </c>
      <c r="B92" s="38">
        <v>2003445</v>
      </c>
      <c r="C92" s="43" t="s">
        <v>238</v>
      </c>
      <c r="D92" s="40" t="s">
        <v>216</v>
      </c>
      <c r="E92" s="363">
        <v>12</v>
      </c>
      <c r="F92" s="103">
        <v>4</v>
      </c>
      <c r="G92" s="144"/>
      <c r="H92" s="103">
        <f t="shared" si="132"/>
        <v>4</v>
      </c>
      <c r="I92" s="368">
        <f t="shared" si="133"/>
        <v>8</v>
      </c>
      <c r="J92" s="368">
        <v>256.75</v>
      </c>
      <c r="K92" s="41">
        <f t="shared" si="126"/>
        <v>313.51</v>
      </c>
      <c r="L92" s="41">
        <f t="shared" si="127"/>
        <v>3762.12</v>
      </c>
      <c r="M92" s="71">
        <f t="shared" si="134"/>
        <v>1254.04</v>
      </c>
      <c r="N92" s="71">
        <f t="shared" si="135"/>
        <v>0</v>
      </c>
      <c r="O92" s="71">
        <f t="shared" si="136"/>
        <v>1254.04</v>
      </c>
      <c r="P92" s="71">
        <f t="shared" si="137"/>
        <v>2508.08</v>
      </c>
      <c r="Q92" s="71">
        <f t="shared" si="140"/>
        <v>0</v>
      </c>
      <c r="R92" s="71">
        <f t="shared" si="141"/>
        <v>33.333333333333329</v>
      </c>
      <c r="S92" s="39">
        <f t="shared" si="142"/>
        <v>66.666666666666657</v>
      </c>
      <c r="T92" s="34">
        <f t="shared" si="139"/>
        <v>1254.04</v>
      </c>
      <c r="Y92" s="237">
        <f t="shared" si="138"/>
        <v>0.33333333333333331</v>
      </c>
    </row>
    <row r="93" spans="1:25" customFormat="1" ht="25.5" x14ac:dyDescent="0.2">
      <c r="A93" s="42" t="s">
        <v>239</v>
      </c>
      <c r="B93" s="38">
        <v>2003443</v>
      </c>
      <c r="C93" s="43" t="s">
        <v>240</v>
      </c>
      <c r="D93" s="40" t="s">
        <v>216</v>
      </c>
      <c r="E93" s="363">
        <v>1</v>
      </c>
      <c r="F93" s="103">
        <v>0</v>
      </c>
      <c r="G93" s="144"/>
      <c r="H93" s="103">
        <f t="shared" si="132"/>
        <v>0</v>
      </c>
      <c r="I93" s="368">
        <f t="shared" si="133"/>
        <v>1</v>
      </c>
      <c r="J93" s="368">
        <v>215.06</v>
      </c>
      <c r="K93" s="41">
        <f t="shared" si="126"/>
        <v>262.60000000000002</v>
      </c>
      <c r="L93" s="41">
        <f t="shared" si="127"/>
        <v>262.60000000000002</v>
      </c>
      <c r="M93" s="71">
        <f t="shared" si="134"/>
        <v>0</v>
      </c>
      <c r="N93" s="71">
        <f t="shared" si="135"/>
        <v>0</v>
      </c>
      <c r="O93" s="71">
        <f t="shared" si="136"/>
        <v>0</v>
      </c>
      <c r="P93" s="71">
        <f t="shared" si="137"/>
        <v>262.60000000000002</v>
      </c>
      <c r="Q93" s="71">
        <f t="shared" si="140"/>
        <v>0</v>
      </c>
      <c r="R93" s="71">
        <f t="shared" si="141"/>
        <v>0</v>
      </c>
      <c r="S93" s="39">
        <f t="shared" si="142"/>
        <v>100</v>
      </c>
      <c r="T93" s="34">
        <f t="shared" si="139"/>
        <v>0</v>
      </c>
      <c r="Y93" s="237">
        <f t="shared" si="138"/>
        <v>0</v>
      </c>
    </row>
    <row r="94" spans="1:25" customFormat="1" ht="25.5" x14ac:dyDescent="0.2">
      <c r="A94" s="42" t="s">
        <v>241</v>
      </c>
      <c r="B94" s="38">
        <v>2003730</v>
      </c>
      <c r="C94" s="43" t="s">
        <v>242</v>
      </c>
      <c r="D94" s="40" t="s">
        <v>216</v>
      </c>
      <c r="E94" s="363">
        <v>3</v>
      </c>
      <c r="F94" s="103">
        <v>1</v>
      </c>
      <c r="G94" s="144"/>
      <c r="H94" s="103">
        <f t="shared" si="132"/>
        <v>1</v>
      </c>
      <c r="I94" s="368">
        <f t="shared" si="133"/>
        <v>2</v>
      </c>
      <c r="J94" s="368">
        <v>3014.81</v>
      </c>
      <c r="K94" s="41">
        <f t="shared" si="126"/>
        <v>3681.38</v>
      </c>
      <c r="L94" s="41">
        <f t="shared" si="127"/>
        <v>11044.14</v>
      </c>
      <c r="M94" s="71">
        <f t="shared" si="134"/>
        <v>3681.38</v>
      </c>
      <c r="N94" s="71">
        <f t="shared" si="135"/>
        <v>0</v>
      </c>
      <c r="O94" s="71">
        <f t="shared" si="136"/>
        <v>3681.38</v>
      </c>
      <c r="P94" s="71">
        <f t="shared" si="137"/>
        <v>7362.76</v>
      </c>
      <c r="Q94" s="71">
        <f t="shared" si="140"/>
        <v>0</v>
      </c>
      <c r="R94" s="71">
        <f t="shared" si="141"/>
        <v>33.333333333333336</v>
      </c>
      <c r="S94" s="39">
        <f t="shared" si="142"/>
        <v>66.666666666666671</v>
      </c>
      <c r="T94" s="34">
        <f t="shared" si="139"/>
        <v>3681.3799999999992</v>
      </c>
      <c r="Y94" s="237">
        <f t="shared" si="138"/>
        <v>0.33333333333333337</v>
      </c>
    </row>
    <row r="95" spans="1:25" customFormat="1" ht="25.5" x14ac:dyDescent="0.2">
      <c r="A95" s="42" t="s">
        <v>243</v>
      </c>
      <c r="B95" s="38">
        <v>2003734</v>
      </c>
      <c r="C95" s="43" t="s">
        <v>244</v>
      </c>
      <c r="D95" s="40" t="s">
        <v>216</v>
      </c>
      <c r="E95" s="363">
        <v>10</v>
      </c>
      <c r="F95" s="103">
        <v>6</v>
      </c>
      <c r="G95" s="144"/>
      <c r="H95" s="103">
        <f t="shared" si="132"/>
        <v>6</v>
      </c>
      <c r="I95" s="368">
        <f t="shared" si="133"/>
        <v>4</v>
      </c>
      <c r="J95" s="368">
        <v>2946.92</v>
      </c>
      <c r="K95" s="41">
        <f t="shared" si="126"/>
        <v>3598.48</v>
      </c>
      <c r="L95" s="41">
        <f t="shared" si="127"/>
        <v>35984.800000000003</v>
      </c>
      <c r="M95" s="71">
        <f t="shared" si="134"/>
        <v>21590.880000000001</v>
      </c>
      <c r="N95" s="71">
        <f t="shared" si="135"/>
        <v>0</v>
      </c>
      <c r="O95" s="71">
        <f t="shared" si="136"/>
        <v>21590.880000000001</v>
      </c>
      <c r="P95" s="71">
        <f t="shared" si="137"/>
        <v>14393.92</v>
      </c>
      <c r="Q95" s="71">
        <f t="shared" si="140"/>
        <v>0</v>
      </c>
      <c r="R95" s="71">
        <f t="shared" si="141"/>
        <v>60</v>
      </c>
      <c r="S95" s="39">
        <f t="shared" si="142"/>
        <v>40</v>
      </c>
      <c r="T95" s="34">
        <f t="shared" si="139"/>
        <v>21590.880000000005</v>
      </c>
      <c r="Y95" s="237">
        <f t="shared" si="138"/>
        <v>0.6</v>
      </c>
    </row>
    <row r="96" spans="1:25" customFormat="1" ht="25.5" x14ac:dyDescent="0.2">
      <c r="A96" s="42" t="s">
        <v>245</v>
      </c>
      <c r="B96" s="38">
        <v>2003738</v>
      </c>
      <c r="C96" s="43" t="s">
        <v>246</v>
      </c>
      <c r="D96" s="40" t="s">
        <v>216</v>
      </c>
      <c r="E96" s="363">
        <v>1</v>
      </c>
      <c r="F96" s="103">
        <v>1</v>
      </c>
      <c r="G96" s="144"/>
      <c r="H96" s="103">
        <f t="shared" si="132"/>
        <v>1</v>
      </c>
      <c r="I96" s="368">
        <f t="shared" si="133"/>
        <v>0</v>
      </c>
      <c r="J96" s="368">
        <v>3971.3</v>
      </c>
      <c r="K96" s="41">
        <f t="shared" si="126"/>
        <v>4849.3500000000004</v>
      </c>
      <c r="L96" s="41">
        <f t="shared" si="127"/>
        <v>4849.3500000000004</v>
      </c>
      <c r="M96" s="71">
        <f t="shared" si="134"/>
        <v>4849.3500000000004</v>
      </c>
      <c r="N96" s="71">
        <f t="shared" si="135"/>
        <v>0</v>
      </c>
      <c r="O96" s="71">
        <f t="shared" si="136"/>
        <v>4849.3500000000004</v>
      </c>
      <c r="P96" s="71">
        <f t="shared" si="137"/>
        <v>0</v>
      </c>
      <c r="Q96" s="71">
        <f t="shared" si="140"/>
        <v>0</v>
      </c>
      <c r="R96" s="71">
        <f t="shared" si="141"/>
        <v>100</v>
      </c>
      <c r="S96" s="39">
        <f t="shared" si="142"/>
        <v>0</v>
      </c>
      <c r="T96" s="34">
        <f t="shared" si="139"/>
        <v>4849.3500000000004</v>
      </c>
      <c r="Y96" s="237">
        <f t="shared" si="138"/>
        <v>1</v>
      </c>
    </row>
    <row r="97" spans="1:25" customFormat="1" ht="25.5" x14ac:dyDescent="0.2">
      <c r="A97" s="42" t="s">
        <v>247</v>
      </c>
      <c r="B97" s="38">
        <v>2003746</v>
      </c>
      <c r="C97" s="43" t="s">
        <v>248</v>
      </c>
      <c r="D97" s="40" t="s">
        <v>216</v>
      </c>
      <c r="E97" s="363">
        <v>1</v>
      </c>
      <c r="F97" s="103">
        <v>1</v>
      </c>
      <c r="G97" s="144"/>
      <c r="H97" s="103">
        <f t="shared" si="132"/>
        <v>1</v>
      </c>
      <c r="I97" s="368">
        <f t="shared" si="133"/>
        <v>0</v>
      </c>
      <c r="J97" s="368">
        <v>4786.79</v>
      </c>
      <c r="K97" s="41">
        <f t="shared" si="126"/>
        <v>5845.14</v>
      </c>
      <c r="L97" s="41">
        <f t="shared" si="127"/>
        <v>5845.14</v>
      </c>
      <c r="M97" s="71">
        <f t="shared" si="134"/>
        <v>5845.14</v>
      </c>
      <c r="N97" s="71">
        <f t="shared" si="135"/>
        <v>0</v>
      </c>
      <c r="O97" s="71">
        <f t="shared" si="136"/>
        <v>5845.14</v>
      </c>
      <c r="P97" s="71">
        <f t="shared" si="137"/>
        <v>0</v>
      </c>
      <c r="Q97" s="71">
        <f t="shared" si="140"/>
        <v>0</v>
      </c>
      <c r="R97" s="71">
        <f t="shared" si="141"/>
        <v>100</v>
      </c>
      <c r="S97" s="39">
        <f t="shared" si="142"/>
        <v>0</v>
      </c>
      <c r="T97" s="34">
        <f t="shared" si="139"/>
        <v>5845.14</v>
      </c>
      <c r="Y97" s="237">
        <f t="shared" si="138"/>
        <v>1</v>
      </c>
    </row>
    <row r="98" spans="1:25" customFormat="1" ht="25.5" x14ac:dyDescent="0.2">
      <c r="A98" s="42" t="s">
        <v>249</v>
      </c>
      <c r="B98" s="38">
        <v>804081</v>
      </c>
      <c r="C98" s="43" t="s">
        <v>250</v>
      </c>
      <c r="D98" s="40" t="s">
        <v>216</v>
      </c>
      <c r="E98" s="363">
        <v>1</v>
      </c>
      <c r="F98" s="103">
        <v>1</v>
      </c>
      <c r="G98" s="144"/>
      <c r="H98" s="103">
        <f t="shared" si="132"/>
        <v>1</v>
      </c>
      <c r="I98" s="368">
        <f t="shared" si="133"/>
        <v>0</v>
      </c>
      <c r="J98" s="368">
        <v>612.04</v>
      </c>
      <c r="K98" s="41">
        <f t="shared" si="126"/>
        <v>747.36</v>
      </c>
      <c r="L98" s="41">
        <f t="shared" si="127"/>
        <v>747.36</v>
      </c>
      <c r="M98" s="71">
        <f t="shared" si="134"/>
        <v>747.36</v>
      </c>
      <c r="N98" s="71">
        <f t="shared" si="135"/>
        <v>0</v>
      </c>
      <c r="O98" s="71">
        <f t="shared" si="136"/>
        <v>747.36</v>
      </c>
      <c r="P98" s="71">
        <f t="shared" si="137"/>
        <v>0</v>
      </c>
      <c r="Q98" s="71">
        <f t="shared" si="140"/>
        <v>0</v>
      </c>
      <c r="R98" s="71">
        <f t="shared" si="141"/>
        <v>100</v>
      </c>
      <c r="S98" s="39">
        <f t="shared" si="142"/>
        <v>0</v>
      </c>
      <c r="T98" s="34">
        <f t="shared" si="139"/>
        <v>747.36</v>
      </c>
      <c r="Y98" s="237">
        <f t="shared" si="138"/>
        <v>1</v>
      </c>
    </row>
    <row r="99" spans="1:25" customFormat="1" ht="25.5" x14ac:dyDescent="0.2">
      <c r="A99" s="42" t="s">
        <v>251</v>
      </c>
      <c r="B99" s="38">
        <v>804101</v>
      </c>
      <c r="C99" s="43" t="s">
        <v>252</v>
      </c>
      <c r="D99" s="40" t="s">
        <v>216</v>
      </c>
      <c r="E99" s="363">
        <v>7</v>
      </c>
      <c r="F99" s="103">
        <v>7</v>
      </c>
      <c r="G99" s="144"/>
      <c r="H99" s="103">
        <f t="shared" si="132"/>
        <v>7</v>
      </c>
      <c r="I99" s="368">
        <f t="shared" si="133"/>
        <v>0</v>
      </c>
      <c r="J99" s="368">
        <v>1033.8599999999999</v>
      </c>
      <c r="K99" s="41">
        <f t="shared" si="126"/>
        <v>1262.44</v>
      </c>
      <c r="L99" s="41">
        <f t="shared" si="127"/>
        <v>8837.08</v>
      </c>
      <c r="M99" s="71">
        <f t="shared" si="134"/>
        <v>8837.08</v>
      </c>
      <c r="N99" s="71">
        <f t="shared" si="135"/>
        <v>0</v>
      </c>
      <c r="O99" s="71">
        <f t="shared" si="136"/>
        <v>8837.08</v>
      </c>
      <c r="P99" s="71">
        <f t="shared" si="137"/>
        <v>0</v>
      </c>
      <c r="Q99" s="71">
        <f t="shared" si="140"/>
        <v>0</v>
      </c>
      <c r="R99" s="71">
        <f t="shared" si="141"/>
        <v>100</v>
      </c>
      <c r="S99" s="39">
        <f t="shared" si="142"/>
        <v>0</v>
      </c>
      <c r="T99" s="34">
        <f t="shared" si="139"/>
        <v>8837.08</v>
      </c>
      <c r="Y99" s="237">
        <f t="shared" si="138"/>
        <v>1</v>
      </c>
    </row>
    <row r="100" spans="1:25" customFormat="1" ht="25.5" x14ac:dyDescent="0.2">
      <c r="A100" s="42" t="s">
        <v>253</v>
      </c>
      <c r="B100" s="348">
        <v>804141</v>
      </c>
      <c r="C100" s="42" t="s">
        <v>254</v>
      </c>
      <c r="D100" s="40" t="s">
        <v>118</v>
      </c>
      <c r="E100" s="363">
        <v>16</v>
      </c>
      <c r="F100" s="103">
        <v>6</v>
      </c>
      <c r="G100" s="144"/>
      <c r="H100" s="103">
        <f t="shared" si="132"/>
        <v>6</v>
      </c>
      <c r="I100" s="368">
        <f t="shared" si="133"/>
        <v>10</v>
      </c>
      <c r="J100" s="368">
        <v>2129.0500000000002</v>
      </c>
      <c r="K100" s="41">
        <f t="shared" si="126"/>
        <v>2599.7800000000002</v>
      </c>
      <c r="L100" s="41">
        <f t="shared" si="127"/>
        <v>41596.480000000003</v>
      </c>
      <c r="M100" s="71">
        <f t="shared" si="134"/>
        <v>15598.68</v>
      </c>
      <c r="N100" s="71">
        <f t="shared" si="135"/>
        <v>0</v>
      </c>
      <c r="O100" s="71">
        <f t="shared" si="136"/>
        <v>15598.68</v>
      </c>
      <c r="P100" s="71">
        <f t="shared" si="137"/>
        <v>25997.8</v>
      </c>
      <c r="Q100" s="71">
        <f t="shared" si="140"/>
        <v>0</v>
      </c>
      <c r="R100" s="71">
        <f t="shared" si="141"/>
        <v>37.5</v>
      </c>
      <c r="S100" s="39">
        <f t="shared" si="142"/>
        <v>62.499999999999986</v>
      </c>
      <c r="T100" s="34">
        <f t="shared" si="139"/>
        <v>15598.680000000004</v>
      </c>
      <c r="Y100" s="237">
        <f t="shared" si="138"/>
        <v>0.375</v>
      </c>
    </row>
    <row r="101" spans="1:25" customFormat="1" ht="25.5" x14ac:dyDescent="0.2">
      <c r="A101" s="345" t="s">
        <v>255</v>
      </c>
      <c r="B101" s="348">
        <v>804253</v>
      </c>
      <c r="C101" s="42" t="s">
        <v>256</v>
      </c>
      <c r="D101" s="40" t="s">
        <v>216</v>
      </c>
      <c r="E101" s="363">
        <v>2</v>
      </c>
      <c r="F101" s="103">
        <v>2</v>
      </c>
      <c r="G101" s="144"/>
      <c r="H101" s="103">
        <f t="shared" si="132"/>
        <v>2</v>
      </c>
      <c r="I101" s="368">
        <f t="shared" si="133"/>
        <v>0</v>
      </c>
      <c r="J101" s="368">
        <v>2554.2199999999998</v>
      </c>
      <c r="K101" s="41">
        <f t="shared" si="126"/>
        <v>3118.95</v>
      </c>
      <c r="L101" s="41">
        <f t="shared" si="127"/>
        <v>6237.9</v>
      </c>
      <c r="M101" s="71">
        <f t="shared" si="134"/>
        <v>6237.9</v>
      </c>
      <c r="N101" s="71">
        <f t="shared" si="135"/>
        <v>0</v>
      </c>
      <c r="O101" s="71">
        <f t="shared" si="136"/>
        <v>6237.9</v>
      </c>
      <c r="P101" s="71">
        <f t="shared" si="137"/>
        <v>0</v>
      </c>
      <c r="Q101" s="71">
        <f t="shared" si="140"/>
        <v>0</v>
      </c>
      <c r="R101" s="71">
        <f t="shared" si="141"/>
        <v>100</v>
      </c>
      <c r="S101" s="39">
        <f t="shared" si="142"/>
        <v>0</v>
      </c>
      <c r="T101" s="34">
        <f t="shared" si="139"/>
        <v>6237.9</v>
      </c>
      <c r="Y101" s="237">
        <f t="shared" si="138"/>
        <v>1</v>
      </c>
    </row>
    <row r="102" spans="1:25" customFormat="1" ht="25.5" x14ac:dyDescent="0.2">
      <c r="A102" s="345" t="s">
        <v>257</v>
      </c>
      <c r="B102" s="38">
        <v>705338</v>
      </c>
      <c r="C102" s="42" t="s">
        <v>258</v>
      </c>
      <c r="D102" s="40" t="s">
        <v>216</v>
      </c>
      <c r="E102" s="363">
        <v>2</v>
      </c>
      <c r="F102" s="103">
        <v>2</v>
      </c>
      <c r="G102" s="144"/>
      <c r="H102" s="103">
        <f t="shared" si="132"/>
        <v>2</v>
      </c>
      <c r="I102" s="368">
        <f t="shared" si="133"/>
        <v>0</v>
      </c>
      <c r="J102" s="368">
        <v>41470.29</v>
      </c>
      <c r="K102" s="41">
        <f t="shared" si="126"/>
        <v>50639.37</v>
      </c>
      <c r="L102" s="41">
        <f t="shared" si="127"/>
        <v>101278.74</v>
      </c>
      <c r="M102" s="71">
        <f t="shared" si="134"/>
        <v>101278.74</v>
      </c>
      <c r="N102" s="71">
        <f t="shared" si="135"/>
        <v>0</v>
      </c>
      <c r="O102" s="71">
        <f t="shared" si="136"/>
        <v>101278.74</v>
      </c>
      <c r="P102" s="71">
        <f t="shared" si="137"/>
        <v>0</v>
      </c>
      <c r="Q102" s="71">
        <f t="shared" si="140"/>
        <v>0</v>
      </c>
      <c r="R102" s="71">
        <f t="shared" si="141"/>
        <v>100</v>
      </c>
      <c r="S102" s="39">
        <f t="shared" si="142"/>
        <v>0</v>
      </c>
      <c r="T102" s="34">
        <f t="shared" si="139"/>
        <v>101278.74</v>
      </c>
      <c r="Y102" s="237">
        <f t="shared" si="138"/>
        <v>1</v>
      </c>
    </row>
    <row r="103" spans="1:25" customFormat="1" ht="25.5" x14ac:dyDescent="0.2">
      <c r="A103" s="345" t="s">
        <v>259</v>
      </c>
      <c r="B103" s="38">
        <v>705303</v>
      </c>
      <c r="C103" s="42" t="s">
        <v>260</v>
      </c>
      <c r="D103" s="40" t="s">
        <v>57</v>
      </c>
      <c r="E103" s="363">
        <v>26</v>
      </c>
      <c r="F103" s="103">
        <v>26</v>
      </c>
      <c r="G103" s="145"/>
      <c r="H103" s="103">
        <f t="shared" si="132"/>
        <v>26</v>
      </c>
      <c r="I103" s="368">
        <f t="shared" si="133"/>
        <v>0</v>
      </c>
      <c r="J103" s="368">
        <v>9354.83</v>
      </c>
      <c r="K103" s="41">
        <f t="shared" si="126"/>
        <v>11423.18</v>
      </c>
      <c r="L103" s="41">
        <f t="shared" si="127"/>
        <v>297002.68</v>
      </c>
      <c r="M103" s="71">
        <f t="shared" si="134"/>
        <v>297002.68</v>
      </c>
      <c r="N103" s="71">
        <f t="shared" si="135"/>
        <v>0</v>
      </c>
      <c r="O103" s="71">
        <f t="shared" si="136"/>
        <v>297002.68</v>
      </c>
      <c r="P103" s="71">
        <f t="shared" si="137"/>
        <v>0</v>
      </c>
      <c r="Q103" s="71">
        <f t="shared" si="140"/>
        <v>0</v>
      </c>
      <c r="R103" s="71">
        <f t="shared" si="141"/>
        <v>100</v>
      </c>
      <c r="S103" s="39">
        <f t="shared" si="142"/>
        <v>0</v>
      </c>
      <c r="T103" s="34">
        <f t="shared" si="139"/>
        <v>297002.68</v>
      </c>
      <c r="Y103" s="237">
        <f t="shared" si="138"/>
        <v>1</v>
      </c>
    </row>
    <row r="104" spans="1:25" customFormat="1" ht="12.75" x14ac:dyDescent="0.2">
      <c r="A104" s="345" t="s">
        <v>261</v>
      </c>
      <c r="B104" s="348" t="s">
        <v>262</v>
      </c>
      <c r="C104" s="42" t="s">
        <v>263</v>
      </c>
      <c r="D104" s="40" t="s">
        <v>77</v>
      </c>
      <c r="E104" s="363">
        <v>39</v>
      </c>
      <c r="F104" s="103">
        <v>38.999000000000002</v>
      </c>
      <c r="G104" s="305"/>
      <c r="H104" s="103">
        <f t="shared" si="132"/>
        <v>38.999000000000002</v>
      </c>
      <c r="I104" s="368">
        <f t="shared" si="133"/>
        <v>0</v>
      </c>
      <c r="J104" s="368">
        <v>492.07</v>
      </c>
      <c r="K104" s="41">
        <f t="shared" si="126"/>
        <v>600.86</v>
      </c>
      <c r="L104" s="41">
        <f t="shared" si="127"/>
        <v>23433.54</v>
      </c>
      <c r="M104" s="71">
        <f t="shared" si="134"/>
        <v>23432.94</v>
      </c>
      <c r="N104" s="71">
        <f t="shared" si="135"/>
        <v>0</v>
      </c>
      <c r="O104" s="71">
        <f t="shared" si="136"/>
        <v>23432.94</v>
      </c>
      <c r="P104" s="71">
        <f t="shared" si="137"/>
        <v>0</v>
      </c>
      <c r="Q104" s="71">
        <f t="shared" si="140"/>
        <v>0</v>
      </c>
      <c r="R104" s="71">
        <f t="shared" si="141"/>
        <v>99.997439567389307</v>
      </c>
      <c r="S104" s="39">
        <f t="shared" si="142"/>
        <v>0</v>
      </c>
      <c r="T104" s="34">
        <f t="shared" si="139"/>
        <v>23433.54</v>
      </c>
      <c r="Y104" s="237">
        <f t="shared" si="138"/>
        <v>0.99997439567389301</v>
      </c>
    </row>
    <row r="105" spans="1:25" customFormat="1" ht="25.5" x14ac:dyDescent="0.2">
      <c r="A105" s="345" t="s">
        <v>264</v>
      </c>
      <c r="B105" s="38">
        <v>804015</v>
      </c>
      <c r="C105" s="42" t="s">
        <v>265</v>
      </c>
      <c r="D105" s="40" t="s">
        <v>57</v>
      </c>
      <c r="E105" s="363">
        <v>39</v>
      </c>
      <c r="F105" s="103">
        <v>39</v>
      </c>
      <c r="G105" s="144"/>
      <c r="H105" s="103">
        <f t="shared" si="132"/>
        <v>39</v>
      </c>
      <c r="I105" s="368">
        <f t="shared" si="133"/>
        <v>0</v>
      </c>
      <c r="J105" s="368">
        <v>213.66</v>
      </c>
      <c r="K105" s="41">
        <f t="shared" si="126"/>
        <v>260.89999999999998</v>
      </c>
      <c r="L105" s="41">
        <f t="shared" si="127"/>
        <v>10175.1</v>
      </c>
      <c r="M105" s="71">
        <f t="shared" si="134"/>
        <v>10175.1</v>
      </c>
      <c r="N105" s="71">
        <f t="shared" si="135"/>
        <v>0</v>
      </c>
      <c r="O105" s="71">
        <f t="shared" si="136"/>
        <v>10175.1</v>
      </c>
      <c r="P105" s="71">
        <f t="shared" si="137"/>
        <v>0</v>
      </c>
      <c r="Q105" s="71">
        <f t="shared" si="140"/>
        <v>0</v>
      </c>
      <c r="R105" s="71">
        <f t="shared" si="141"/>
        <v>100</v>
      </c>
      <c r="S105" s="39">
        <f t="shared" si="142"/>
        <v>0</v>
      </c>
      <c r="T105" s="34">
        <f t="shared" si="139"/>
        <v>10175.1</v>
      </c>
      <c r="Y105" s="237">
        <f>O105/L105</f>
        <v>1</v>
      </c>
    </row>
    <row r="106" spans="1:25" customFormat="1" ht="25.5" x14ac:dyDescent="0.2">
      <c r="A106" s="345" t="s">
        <v>267</v>
      </c>
      <c r="B106" s="38">
        <v>804023</v>
      </c>
      <c r="C106" s="42" t="s">
        <v>268</v>
      </c>
      <c r="D106" s="40" t="s">
        <v>57</v>
      </c>
      <c r="E106" s="363">
        <v>141</v>
      </c>
      <c r="F106" s="103">
        <v>141</v>
      </c>
      <c r="G106" s="144"/>
      <c r="H106" s="103">
        <f t="shared" si="132"/>
        <v>141</v>
      </c>
      <c r="I106" s="368">
        <f t="shared" si="133"/>
        <v>0</v>
      </c>
      <c r="J106" s="368">
        <v>349.91</v>
      </c>
      <c r="K106" s="41">
        <f t="shared" si="126"/>
        <v>427.27</v>
      </c>
      <c r="L106" s="41">
        <f t="shared" si="127"/>
        <v>60245.07</v>
      </c>
      <c r="M106" s="71">
        <f t="shared" si="134"/>
        <v>60245.07</v>
      </c>
      <c r="N106" s="71">
        <f t="shared" si="135"/>
        <v>0</v>
      </c>
      <c r="O106" s="71">
        <f t="shared" si="136"/>
        <v>60245.07</v>
      </c>
      <c r="P106" s="71">
        <f t="shared" si="137"/>
        <v>0</v>
      </c>
      <c r="Q106" s="71">
        <f t="shared" si="140"/>
        <v>0</v>
      </c>
      <c r="R106" s="71">
        <f t="shared" si="141"/>
        <v>100</v>
      </c>
      <c r="S106" s="39">
        <f t="shared" si="142"/>
        <v>0</v>
      </c>
      <c r="T106" s="34">
        <f t="shared" si="139"/>
        <v>60245.07</v>
      </c>
      <c r="Y106" s="237">
        <f t="shared" si="138"/>
        <v>1</v>
      </c>
    </row>
    <row r="107" spans="1:25" customFormat="1" ht="25.5" x14ac:dyDescent="0.2">
      <c r="A107" s="345" t="s">
        <v>270</v>
      </c>
      <c r="B107" s="38">
        <v>804031</v>
      </c>
      <c r="C107" s="42" t="s">
        <v>271</v>
      </c>
      <c r="D107" s="40" t="s">
        <v>57</v>
      </c>
      <c r="E107" s="363">
        <v>104</v>
      </c>
      <c r="F107" s="103">
        <v>104</v>
      </c>
      <c r="G107" s="144"/>
      <c r="H107" s="103">
        <f t="shared" si="132"/>
        <v>104</v>
      </c>
      <c r="I107" s="368">
        <f t="shared" si="133"/>
        <v>0</v>
      </c>
      <c r="J107" s="368">
        <v>503.75</v>
      </c>
      <c r="K107" s="41">
        <f t="shared" si="126"/>
        <v>615.12</v>
      </c>
      <c r="L107" s="41">
        <f t="shared" si="127"/>
        <v>63972.480000000003</v>
      </c>
      <c r="M107" s="71">
        <f t="shared" si="134"/>
        <v>63972.480000000003</v>
      </c>
      <c r="N107" s="71">
        <f t="shared" si="135"/>
        <v>0</v>
      </c>
      <c r="O107" s="71">
        <f t="shared" si="136"/>
        <v>63972.480000000003</v>
      </c>
      <c r="P107" s="71">
        <f t="shared" si="137"/>
        <v>0</v>
      </c>
      <c r="Q107" s="71">
        <f t="shared" si="140"/>
        <v>0</v>
      </c>
      <c r="R107" s="71">
        <f t="shared" si="141"/>
        <v>100</v>
      </c>
      <c r="S107" s="39">
        <f t="shared" si="142"/>
        <v>0</v>
      </c>
      <c r="T107" s="34">
        <f t="shared" si="139"/>
        <v>63972.480000000003</v>
      </c>
      <c r="Y107" s="237">
        <f t="shared" si="138"/>
        <v>1</v>
      </c>
    </row>
    <row r="108" spans="1:25" customFormat="1" ht="25.5" x14ac:dyDescent="0.2">
      <c r="A108" s="345" t="s">
        <v>273</v>
      </c>
      <c r="B108" s="348">
        <v>804047</v>
      </c>
      <c r="C108" s="42" t="s">
        <v>274</v>
      </c>
      <c r="D108" s="40" t="s">
        <v>57</v>
      </c>
      <c r="E108" s="363">
        <v>17</v>
      </c>
      <c r="F108" s="103">
        <v>17</v>
      </c>
      <c r="G108" s="144"/>
      <c r="H108" s="103">
        <f t="shared" si="132"/>
        <v>17</v>
      </c>
      <c r="I108" s="368">
        <f t="shared" si="133"/>
        <v>0</v>
      </c>
      <c r="J108" s="368">
        <v>884.4</v>
      </c>
      <c r="K108" s="41">
        <f t="shared" si="126"/>
        <v>1079.94</v>
      </c>
      <c r="L108" s="41">
        <f t="shared" si="127"/>
        <v>18358.98</v>
      </c>
      <c r="M108" s="71">
        <f t="shared" si="134"/>
        <v>18358.98</v>
      </c>
      <c r="N108" s="71">
        <f t="shared" si="135"/>
        <v>0</v>
      </c>
      <c r="O108" s="71">
        <f t="shared" si="136"/>
        <v>18358.98</v>
      </c>
      <c r="P108" s="71">
        <f t="shared" si="137"/>
        <v>0</v>
      </c>
      <c r="Q108" s="71">
        <f t="shared" si="140"/>
        <v>0</v>
      </c>
      <c r="R108" s="71">
        <f t="shared" si="141"/>
        <v>100</v>
      </c>
      <c r="S108" s="39">
        <f t="shared" si="142"/>
        <v>0</v>
      </c>
      <c r="T108" s="34">
        <f t="shared" si="139"/>
        <v>18358.98</v>
      </c>
      <c r="Y108" s="237">
        <f t="shared" si="138"/>
        <v>1</v>
      </c>
    </row>
    <row r="109" spans="1:25" customFormat="1" ht="25.5" x14ac:dyDescent="0.2">
      <c r="A109" s="345" t="s">
        <v>275</v>
      </c>
      <c r="B109" s="38">
        <v>804199</v>
      </c>
      <c r="C109" s="345" t="s">
        <v>276</v>
      </c>
      <c r="D109" s="40" t="s">
        <v>57</v>
      </c>
      <c r="E109" s="363">
        <v>21</v>
      </c>
      <c r="F109" s="103">
        <v>21</v>
      </c>
      <c r="G109" s="144"/>
      <c r="H109" s="103">
        <f t="shared" si="132"/>
        <v>21</v>
      </c>
      <c r="I109" s="368">
        <f t="shared" si="133"/>
        <v>0</v>
      </c>
      <c r="J109" s="368">
        <v>1719.09</v>
      </c>
      <c r="K109" s="41">
        <f t="shared" si="126"/>
        <v>2099.1799999999998</v>
      </c>
      <c r="L109" s="41">
        <f t="shared" si="127"/>
        <v>44082.78</v>
      </c>
      <c r="M109" s="71">
        <f t="shared" si="134"/>
        <v>44082.78</v>
      </c>
      <c r="N109" s="71">
        <f t="shared" si="135"/>
        <v>0</v>
      </c>
      <c r="O109" s="71">
        <f t="shared" si="136"/>
        <v>44082.78</v>
      </c>
      <c r="P109" s="71">
        <f t="shared" si="137"/>
        <v>0</v>
      </c>
      <c r="Q109" s="71">
        <f t="shared" si="140"/>
        <v>0</v>
      </c>
      <c r="R109" s="71">
        <f t="shared" si="141"/>
        <v>100</v>
      </c>
      <c r="S109" s="39">
        <f t="shared" si="142"/>
        <v>0</v>
      </c>
      <c r="T109" s="34">
        <f t="shared" si="139"/>
        <v>44082.78</v>
      </c>
      <c r="Y109" s="237">
        <f t="shared" si="138"/>
        <v>1</v>
      </c>
    </row>
    <row r="110" spans="1:25" customFormat="1" ht="25.5" x14ac:dyDescent="0.2">
      <c r="A110" s="345" t="s">
        <v>278</v>
      </c>
      <c r="B110" s="348" t="s">
        <v>279</v>
      </c>
      <c r="C110" s="44" t="s">
        <v>280</v>
      </c>
      <c r="D110" s="40" t="s">
        <v>53</v>
      </c>
      <c r="E110" s="363">
        <v>9</v>
      </c>
      <c r="F110" s="103">
        <v>8</v>
      </c>
      <c r="G110" s="144"/>
      <c r="H110" s="103">
        <f t="shared" si="132"/>
        <v>8</v>
      </c>
      <c r="I110" s="368">
        <f t="shared" si="133"/>
        <v>1</v>
      </c>
      <c r="J110" s="368">
        <v>4416.04</v>
      </c>
      <c r="K110" s="41">
        <f t="shared" si="126"/>
        <v>5392.42</v>
      </c>
      <c r="L110" s="41">
        <f t="shared" si="127"/>
        <v>48531.78</v>
      </c>
      <c r="M110" s="71">
        <f t="shared" si="134"/>
        <v>43139.360000000001</v>
      </c>
      <c r="N110" s="71">
        <f t="shared" si="135"/>
        <v>0</v>
      </c>
      <c r="O110" s="71">
        <f t="shared" si="136"/>
        <v>43139.360000000001</v>
      </c>
      <c r="P110" s="71">
        <f t="shared" si="137"/>
        <v>5392.42</v>
      </c>
      <c r="Q110" s="71">
        <f t="shared" si="140"/>
        <v>0</v>
      </c>
      <c r="R110" s="71">
        <f t="shared" si="141"/>
        <v>88.8888888888889</v>
      </c>
      <c r="S110" s="39">
        <f t="shared" si="142"/>
        <v>11.111111111111112</v>
      </c>
      <c r="T110" s="34">
        <f t="shared" si="139"/>
        <v>43139.360000000001</v>
      </c>
      <c r="Y110" s="237">
        <f t="shared" si="138"/>
        <v>0.88888888888888895</v>
      </c>
    </row>
    <row r="111" spans="1:25" customFormat="1" ht="25.5" x14ac:dyDescent="0.2">
      <c r="A111" s="345" t="s">
        <v>281</v>
      </c>
      <c r="B111" s="348" t="s">
        <v>282</v>
      </c>
      <c r="C111" s="44" t="s">
        <v>283</v>
      </c>
      <c r="D111" s="40" t="s">
        <v>53</v>
      </c>
      <c r="E111" s="363">
        <v>3</v>
      </c>
      <c r="F111" s="103">
        <v>2</v>
      </c>
      <c r="G111" s="144"/>
      <c r="H111" s="103">
        <f t="shared" si="132"/>
        <v>2</v>
      </c>
      <c r="I111" s="368">
        <f t="shared" si="133"/>
        <v>1</v>
      </c>
      <c r="J111" s="368">
        <v>2315.91</v>
      </c>
      <c r="K111" s="41">
        <f t="shared" si="126"/>
        <v>2827.95</v>
      </c>
      <c r="L111" s="41">
        <f t="shared" si="127"/>
        <v>8483.85</v>
      </c>
      <c r="M111" s="71">
        <f t="shared" si="134"/>
        <v>5655.9</v>
      </c>
      <c r="N111" s="71">
        <f t="shared" si="135"/>
        <v>0</v>
      </c>
      <c r="O111" s="71">
        <f t="shared" si="136"/>
        <v>5655.9</v>
      </c>
      <c r="P111" s="71">
        <f t="shared" si="137"/>
        <v>2827.95</v>
      </c>
      <c r="Q111" s="71">
        <f t="shared" si="140"/>
        <v>0</v>
      </c>
      <c r="R111" s="71">
        <f t="shared" si="141"/>
        <v>66.666666666666657</v>
      </c>
      <c r="S111" s="39">
        <f t="shared" si="142"/>
        <v>33.333333333333329</v>
      </c>
      <c r="T111" s="34">
        <f t="shared" si="139"/>
        <v>5655.9000000000005</v>
      </c>
      <c r="Y111" s="237">
        <f t="shared" si="138"/>
        <v>0.66666666666666663</v>
      </c>
    </row>
    <row r="112" spans="1:25" customFormat="1" ht="12.75" x14ac:dyDescent="0.2">
      <c r="A112" s="345" t="s">
        <v>284</v>
      </c>
      <c r="B112" s="348" t="s">
        <v>285</v>
      </c>
      <c r="C112" s="345" t="s">
        <v>286</v>
      </c>
      <c r="D112" s="40" t="s">
        <v>43</v>
      </c>
      <c r="E112" s="363">
        <v>15.2</v>
      </c>
      <c r="F112" s="103">
        <v>0</v>
      </c>
      <c r="G112" s="144"/>
      <c r="H112" s="103">
        <f t="shared" si="132"/>
        <v>0</v>
      </c>
      <c r="I112" s="368">
        <f t="shared" si="133"/>
        <v>15.2</v>
      </c>
      <c r="J112" s="368">
        <v>213.9</v>
      </c>
      <c r="K112" s="41">
        <f t="shared" si="126"/>
        <v>261.19</v>
      </c>
      <c r="L112" s="41">
        <f t="shared" si="127"/>
        <v>3970.08</v>
      </c>
      <c r="M112" s="71">
        <f t="shared" si="134"/>
        <v>0</v>
      </c>
      <c r="N112" s="71">
        <f t="shared" si="135"/>
        <v>0</v>
      </c>
      <c r="O112" s="71">
        <f t="shared" si="136"/>
        <v>0</v>
      </c>
      <c r="P112" s="71">
        <f>L112-O112</f>
        <v>3970.08</v>
      </c>
      <c r="Q112" s="71">
        <f t="shared" si="140"/>
        <v>0</v>
      </c>
      <c r="R112" s="71">
        <f t="shared" si="141"/>
        <v>0</v>
      </c>
      <c r="S112" s="39">
        <f t="shared" si="142"/>
        <v>100</v>
      </c>
      <c r="T112" s="34">
        <f t="shared" si="139"/>
        <v>0</v>
      </c>
      <c r="Y112" s="237">
        <f t="shared" si="138"/>
        <v>0</v>
      </c>
    </row>
    <row r="113" spans="1:25" customFormat="1" ht="12.75" x14ac:dyDescent="0.2">
      <c r="A113" s="65" t="s">
        <v>287</v>
      </c>
      <c r="B113" s="66"/>
      <c r="C113" s="65" t="s">
        <v>288</v>
      </c>
      <c r="D113" s="67"/>
      <c r="E113" s="369" t="s">
        <v>46</v>
      </c>
      <c r="F113" s="370"/>
      <c r="G113" s="370"/>
      <c r="H113" s="370"/>
      <c r="I113" s="370"/>
      <c r="J113" s="372" t="s">
        <v>46</v>
      </c>
      <c r="K113" s="68"/>
      <c r="L113" s="74">
        <f>SUM(L114:L119)</f>
        <v>448615.87</v>
      </c>
      <c r="M113" s="74">
        <f t="shared" ref="M113:P113" si="143">SUM(M114:M119)</f>
        <v>87035.29</v>
      </c>
      <c r="N113" s="74">
        <f t="shared" si="143"/>
        <v>0</v>
      </c>
      <c r="O113" s="74">
        <f t="shared" si="143"/>
        <v>87035.29</v>
      </c>
      <c r="P113" s="74">
        <f t="shared" si="143"/>
        <v>361583.44</v>
      </c>
      <c r="Q113" s="74">
        <f t="shared" si="140"/>
        <v>0</v>
      </c>
      <c r="R113" s="74">
        <f t="shared" si="141"/>
        <v>19.400849550864084</v>
      </c>
      <c r="S113" s="70">
        <f t="shared" si="142"/>
        <v>80.599787965592924</v>
      </c>
      <c r="T113" s="34">
        <f t="shared" si="139"/>
        <v>87032.43</v>
      </c>
      <c r="Y113" s="237">
        <f t="shared" si="138"/>
        <v>0.19400849550864083</v>
      </c>
    </row>
    <row r="114" spans="1:25" customFormat="1" ht="25.5" x14ac:dyDescent="0.2">
      <c r="A114" s="345" t="s">
        <v>289</v>
      </c>
      <c r="B114" s="348" t="s">
        <v>290</v>
      </c>
      <c r="C114" s="345" t="s">
        <v>291</v>
      </c>
      <c r="D114" s="40" t="s">
        <v>43</v>
      </c>
      <c r="E114" s="363">
        <v>1425</v>
      </c>
      <c r="F114" s="103">
        <v>322.98882439024385</v>
      </c>
      <c r="G114" s="103"/>
      <c r="H114" s="103">
        <f t="shared" ref="H114" si="144">F114+G114</f>
        <v>322.98882439024385</v>
      </c>
      <c r="I114" s="368">
        <f t="shared" ref="I114" si="145">ROUND(E114-H114,2)</f>
        <v>1102.01</v>
      </c>
      <c r="J114" s="368">
        <v>62.55</v>
      </c>
      <c r="K114" s="41">
        <f t="shared" ref="K114:K119" si="146">TRUNC(J114*1.2211,2)</f>
        <v>76.37</v>
      </c>
      <c r="L114" s="41">
        <f t="shared" ref="L114:L119" si="147">TRUNC(E114*K114,2)</f>
        <v>108827.25</v>
      </c>
      <c r="M114" s="71">
        <f t="shared" ref="M114" si="148">ROUND(F114*$K114,2)</f>
        <v>24666.66</v>
      </c>
      <c r="N114" s="71">
        <f t="shared" ref="N114" si="149">ROUND(G114*$K114,2)</f>
        <v>0</v>
      </c>
      <c r="O114" s="71">
        <f t="shared" ref="O114" si="150">ROUND(H114*$K114,2)</f>
        <v>24666.66</v>
      </c>
      <c r="P114" s="71">
        <f t="shared" ref="P114" si="151">ROUND(I114*$K114,2)</f>
        <v>84160.5</v>
      </c>
      <c r="Q114" s="71">
        <f t="shared" si="140"/>
        <v>0</v>
      </c>
      <c r="R114" s="71">
        <f t="shared" si="141"/>
        <v>22.665885612289202</v>
      </c>
      <c r="S114" s="39">
        <f t="shared" si="142"/>
        <v>77.334031687835534</v>
      </c>
      <c r="T114" s="34">
        <f t="shared" si="139"/>
        <v>24666.75</v>
      </c>
      <c r="Y114" s="237">
        <f t="shared" si="138"/>
        <v>0.22665885612289202</v>
      </c>
    </row>
    <row r="115" spans="1:25" customFormat="1" ht="25.5" x14ac:dyDescent="0.2">
      <c r="A115" s="345" t="s">
        <v>292</v>
      </c>
      <c r="B115" s="348" t="s">
        <v>293</v>
      </c>
      <c r="C115" s="345" t="s">
        <v>294</v>
      </c>
      <c r="D115" s="40" t="s">
        <v>295</v>
      </c>
      <c r="E115" s="363">
        <v>9263</v>
      </c>
      <c r="F115" s="103">
        <v>1670.1649559485604</v>
      </c>
      <c r="G115" s="103"/>
      <c r="H115" s="103">
        <f t="shared" ref="H115:H119" si="152">F115+G115</f>
        <v>1670.1649559485604</v>
      </c>
      <c r="I115" s="368">
        <f t="shared" ref="I115:I119" si="153">ROUND(E115-H115,2)</f>
        <v>7592.84</v>
      </c>
      <c r="J115" s="368">
        <v>13.34</v>
      </c>
      <c r="K115" s="41">
        <f t="shared" si="146"/>
        <v>16.28</v>
      </c>
      <c r="L115" s="41">
        <f t="shared" si="147"/>
        <v>150801.64000000001</v>
      </c>
      <c r="M115" s="71">
        <f t="shared" ref="M115:M119" si="154">ROUND(F115*$K115,2)</f>
        <v>27190.29</v>
      </c>
      <c r="N115" s="71">
        <f t="shared" ref="N115:N119" si="155">ROUND(G115*$K115,2)</f>
        <v>0</v>
      </c>
      <c r="O115" s="71">
        <f t="shared" ref="O115:O119" si="156">ROUND(H115*$K115,2)</f>
        <v>27190.29</v>
      </c>
      <c r="P115" s="71">
        <f t="shared" ref="P115:P119" si="157">ROUND(I115*$K115,2)</f>
        <v>123611.44</v>
      </c>
      <c r="Q115" s="71">
        <f t="shared" si="140"/>
        <v>0</v>
      </c>
      <c r="R115" s="71">
        <f t="shared" si="141"/>
        <v>18.030500198804202</v>
      </c>
      <c r="S115" s="39">
        <f t="shared" si="142"/>
        <v>81.96955948224435</v>
      </c>
      <c r="T115" s="34">
        <f t="shared" si="139"/>
        <v>27190.200000000012</v>
      </c>
      <c r="Y115" s="237">
        <f t="shared" si="138"/>
        <v>0.18030500198804203</v>
      </c>
    </row>
    <row r="116" spans="1:25" customFormat="1" ht="25.5" x14ac:dyDescent="0.2">
      <c r="A116" s="345" t="s">
        <v>296</v>
      </c>
      <c r="B116" s="348" t="s">
        <v>297</v>
      </c>
      <c r="C116" s="345" t="s">
        <v>298</v>
      </c>
      <c r="D116" s="40" t="s">
        <v>295</v>
      </c>
      <c r="E116" s="363">
        <v>4703</v>
      </c>
      <c r="F116" s="103">
        <v>975.46498716302949</v>
      </c>
      <c r="G116" s="103"/>
      <c r="H116" s="103">
        <f t="shared" si="152"/>
        <v>975.46498716302949</v>
      </c>
      <c r="I116" s="368">
        <f t="shared" si="153"/>
        <v>3727.54</v>
      </c>
      <c r="J116" s="368">
        <v>12.49</v>
      </c>
      <c r="K116" s="41">
        <f t="shared" si="146"/>
        <v>15.25</v>
      </c>
      <c r="L116" s="41">
        <f t="shared" si="147"/>
        <v>71720.75</v>
      </c>
      <c r="M116" s="71">
        <f t="shared" si="154"/>
        <v>14875.84</v>
      </c>
      <c r="N116" s="71">
        <f t="shared" si="155"/>
        <v>0</v>
      </c>
      <c r="O116" s="71">
        <f t="shared" si="156"/>
        <v>14875.84</v>
      </c>
      <c r="P116" s="71">
        <f t="shared" si="157"/>
        <v>56844.99</v>
      </c>
      <c r="Q116" s="71">
        <f t="shared" si="140"/>
        <v>0</v>
      </c>
      <c r="R116" s="71">
        <f t="shared" si="141"/>
        <v>20.741333575011417</v>
      </c>
      <c r="S116" s="39">
        <f t="shared" si="142"/>
        <v>79.258777968718945</v>
      </c>
      <c r="T116" s="34">
        <f t="shared" si="139"/>
        <v>14875.760000000002</v>
      </c>
      <c r="Y116" s="237">
        <f t="shared" si="138"/>
        <v>0.20741333575011417</v>
      </c>
    </row>
    <row r="117" spans="1:25" customFormat="1" ht="25.5" x14ac:dyDescent="0.2">
      <c r="A117" s="345" t="s">
        <v>299</v>
      </c>
      <c r="B117" s="348" t="s">
        <v>300</v>
      </c>
      <c r="C117" s="345" t="s">
        <v>301</v>
      </c>
      <c r="D117" s="40" t="s">
        <v>77</v>
      </c>
      <c r="E117" s="363">
        <v>152</v>
      </c>
      <c r="F117" s="103">
        <v>31.624329268292676</v>
      </c>
      <c r="G117" s="103"/>
      <c r="H117" s="103">
        <f t="shared" si="152"/>
        <v>31.624329268292676</v>
      </c>
      <c r="I117" s="368">
        <f t="shared" si="153"/>
        <v>120.38</v>
      </c>
      <c r="J117" s="368">
        <v>525.75</v>
      </c>
      <c r="K117" s="41">
        <f t="shared" si="146"/>
        <v>641.99</v>
      </c>
      <c r="L117" s="41">
        <f t="shared" si="147"/>
        <v>97582.48</v>
      </c>
      <c r="M117" s="71">
        <f t="shared" si="154"/>
        <v>20302.5</v>
      </c>
      <c r="N117" s="71">
        <f t="shared" si="155"/>
        <v>0</v>
      </c>
      <c r="O117" s="71">
        <f t="shared" si="156"/>
        <v>20302.5</v>
      </c>
      <c r="P117" s="71">
        <f t="shared" si="157"/>
        <v>77282.759999999995</v>
      </c>
      <c r="Q117" s="71">
        <f t="shared" si="140"/>
        <v>0</v>
      </c>
      <c r="R117" s="71">
        <f t="shared" si="141"/>
        <v>20.805476556857339</v>
      </c>
      <c r="S117" s="39">
        <f t="shared" si="142"/>
        <v>79.197372315194286</v>
      </c>
      <c r="T117" s="34">
        <f t="shared" si="139"/>
        <v>20299.72</v>
      </c>
      <c r="Y117" s="237">
        <f t="shared" si="138"/>
        <v>0.20805476556857339</v>
      </c>
    </row>
    <row r="118" spans="1:25" customFormat="1" ht="25.5" x14ac:dyDescent="0.2">
      <c r="A118" s="345" t="s">
        <v>302</v>
      </c>
      <c r="B118" s="348" t="s">
        <v>303</v>
      </c>
      <c r="C118" s="345" t="s">
        <v>304</v>
      </c>
      <c r="D118" s="40" t="s">
        <v>43</v>
      </c>
      <c r="E118" s="363">
        <v>275</v>
      </c>
      <c r="F118" s="103">
        <v>0</v>
      </c>
      <c r="G118" s="103"/>
      <c r="H118" s="103">
        <f t="shared" si="152"/>
        <v>0</v>
      </c>
      <c r="I118" s="368">
        <f t="shared" si="153"/>
        <v>275</v>
      </c>
      <c r="J118" s="368">
        <v>26.65</v>
      </c>
      <c r="K118" s="41">
        <f t="shared" si="146"/>
        <v>32.54</v>
      </c>
      <c r="L118" s="41">
        <f t="shared" si="147"/>
        <v>8948.5</v>
      </c>
      <c r="M118" s="71">
        <f t="shared" si="154"/>
        <v>0</v>
      </c>
      <c r="N118" s="71">
        <f t="shared" si="155"/>
        <v>0</v>
      </c>
      <c r="O118" s="71">
        <f t="shared" si="156"/>
        <v>0</v>
      </c>
      <c r="P118" s="71">
        <f t="shared" si="157"/>
        <v>8948.5</v>
      </c>
      <c r="Q118" s="71">
        <f t="shared" si="140"/>
        <v>0</v>
      </c>
      <c r="R118" s="71">
        <f t="shared" si="141"/>
        <v>0</v>
      </c>
      <c r="S118" s="39">
        <f t="shared" si="142"/>
        <v>100</v>
      </c>
      <c r="T118" s="34">
        <f t="shared" si="139"/>
        <v>0</v>
      </c>
      <c r="Y118" s="237">
        <f t="shared" si="138"/>
        <v>0</v>
      </c>
    </row>
    <row r="119" spans="1:25" customFormat="1" ht="25.5" x14ac:dyDescent="0.2">
      <c r="A119" s="345" t="s">
        <v>305</v>
      </c>
      <c r="B119" s="348" t="s">
        <v>306</v>
      </c>
      <c r="C119" s="345" t="s">
        <v>307</v>
      </c>
      <c r="D119" s="40" t="s">
        <v>77</v>
      </c>
      <c r="E119" s="363">
        <v>23</v>
      </c>
      <c r="F119" s="103">
        <v>0</v>
      </c>
      <c r="G119" s="103"/>
      <c r="H119" s="103">
        <f t="shared" si="152"/>
        <v>0</v>
      </c>
      <c r="I119" s="368">
        <f t="shared" si="153"/>
        <v>23</v>
      </c>
      <c r="J119" s="368">
        <v>382.24</v>
      </c>
      <c r="K119" s="41">
        <f t="shared" si="146"/>
        <v>466.75</v>
      </c>
      <c r="L119" s="41">
        <f t="shared" si="147"/>
        <v>10735.25</v>
      </c>
      <c r="M119" s="71">
        <f t="shared" si="154"/>
        <v>0</v>
      </c>
      <c r="N119" s="71">
        <f t="shared" si="155"/>
        <v>0</v>
      </c>
      <c r="O119" s="71">
        <f t="shared" si="156"/>
        <v>0</v>
      </c>
      <c r="P119" s="71">
        <f t="shared" si="157"/>
        <v>10735.25</v>
      </c>
      <c r="Q119" s="71">
        <f t="shared" si="140"/>
        <v>0</v>
      </c>
      <c r="R119" s="71">
        <f t="shared" si="141"/>
        <v>0</v>
      </c>
      <c r="S119" s="39">
        <f t="shared" si="142"/>
        <v>100</v>
      </c>
      <c r="T119" s="34">
        <f t="shared" si="139"/>
        <v>0</v>
      </c>
      <c r="Y119" s="237">
        <f t="shared" si="138"/>
        <v>0</v>
      </c>
    </row>
    <row r="120" spans="1:25" customFormat="1" ht="12.75" x14ac:dyDescent="0.2">
      <c r="A120" s="65" t="s">
        <v>308</v>
      </c>
      <c r="B120" s="66"/>
      <c r="C120" s="65" t="s">
        <v>309</v>
      </c>
      <c r="D120" s="67"/>
      <c r="E120" s="369" t="s">
        <v>46</v>
      </c>
      <c r="F120" s="370"/>
      <c r="G120" s="370"/>
      <c r="H120" s="370"/>
      <c r="I120" s="370"/>
      <c r="J120" s="372" t="s">
        <v>46</v>
      </c>
      <c r="K120" s="68"/>
      <c r="L120" s="74">
        <f>SUM(L121:L123)</f>
        <v>16114.51</v>
      </c>
      <c r="M120" s="74">
        <f t="shared" ref="M120:P120" si="158">SUM(M121:M123)</f>
        <v>0</v>
      </c>
      <c r="N120" s="74">
        <f t="shared" si="158"/>
        <v>0</v>
      </c>
      <c r="O120" s="74">
        <f t="shared" si="158"/>
        <v>0</v>
      </c>
      <c r="P120" s="74">
        <f t="shared" si="158"/>
        <v>16114.51</v>
      </c>
      <c r="Q120" s="74">
        <f t="shared" si="140"/>
        <v>0</v>
      </c>
      <c r="R120" s="74">
        <f t="shared" si="141"/>
        <v>0</v>
      </c>
      <c r="S120" s="70">
        <f t="shared" si="142"/>
        <v>100</v>
      </c>
      <c r="T120" s="34">
        <f t="shared" si="139"/>
        <v>0</v>
      </c>
      <c r="Y120" s="237">
        <f t="shared" si="138"/>
        <v>0</v>
      </c>
    </row>
    <row r="121" spans="1:25" customFormat="1" ht="25.5" x14ac:dyDescent="0.2">
      <c r="A121" s="345" t="s">
        <v>310</v>
      </c>
      <c r="B121" s="348" t="s">
        <v>290</v>
      </c>
      <c r="C121" s="345" t="s">
        <v>291</v>
      </c>
      <c r="D121" s="40" t="s">
        <v>43</v>
      </c>
      <c r="E121" s="363">
        <v>188</v>
      </c>
      <c r="F121" s="103">
        <v>0</v>
      </c>
      <c r="G121" s="103"/>
      <c r="H121" s="103">
        <f t="shared" ref="H121" si="159">F121+G121</f>
        <v>0</v>
      </c>
      <c r="I121" s="368">
        <f t="shared" ref="I121" si="160">ROUND(E121-H121,2)</f>
        <v>188</v>
      </c>
      <c r="J121" s="368">
        <v>62.55</v>
      </c>
      <c r="K121" s="41">
        <f t="shared" ref="K121:K123" si="161">TRUNC(J121*1.2211,2)</f>
        <v>76.37</v>
      </c>
      <c r="L121" s="41">
        <f>TRUNC(E121*K121,2)</f>
        <v>14357.56</v>
      </c>
      <c r="M121" s="71">
        <f t="shared" ref="M121" si="162">ROUND(F121*$K121,2)</f>
        <v>0</v>
      </c>
      <c r="N121" s="71">
        <f t="shared" ref="N121" si="163">ROUND(G121*$K121,2)</f>
        <v>0</v>
      </c>
      <c r="O121" s="71">
        <f t="shared" ref="O121" si="164">ROUND(H121*$K121,2)</f>
        <v>0</v>
      </c>
      <c r="P121" s="71">
        <f t="shared" ref="P121" si="165">ROUND(I121*$K121,2)</f>
        <v>14357.56</v>
      </c>
      <c r="Q121" s="71">
        <f t="shared" si="140"/>
        <v>0</v>
      </c>
      <c r="R121" s="71">
        <f t="shared" si="141"/>
        <v>0</v>
      </c>
      <c r="S121" s="39">
        <f t="shared" si="142"/>
        <v>100</v>
      </c>
      <c r="T121" s="34">
        <f t="shared" si="139"/>
        <v>0</v>
      </c>
      <c r="Y121" s="237">
        <f t="shared" si="138"/>
        <v>0</v>
      </c>
    </row>
    <row r="122" spans="1:25" customFormat="1" ht="25.5" x14ac:dyDescent="0.2">
      <c r="A122" s="345" t="s">
        <v>311</v>
      </c>
      <c r="B122" s="348" t="s">
        <v>180</v>
      </c>
      <c r="C122" s="345" t="s">
        <v>181</v>
      </c>
      <c r="D122" s="40" t="s">
        <v>77</v>
      </c>
      <c r="E122" s="363">
        <v>138</v>
      </c>
      <c r="F122" s="103">
        <v>0</v>
      </c>
      <c r="G122" s="103"/>
      <c r="H122" s="103">
        <f t="shared" ref="H122:H123" si="166">F122+G122</f>
        <v>0</v>
      </c>
      <c r="I122" s="368">
        <f t="shared" ref="I122:I123" si="167">ROUND(E122-H122,2)</f>
        <v>138</v>
      </c>
      <c r="J122" s="368">
        <v>9.73</v>
      </c>
      <c r="K122" s="41">
        <f t="shared" si="161"/>
        <v>11.88</v>
      </c>
      <c r="L122" s="41">
        <f>TRUNC(E122*K122,2)</f>
        <v>1639.44</v>
      </c>
      <c r="M122" s="71">
        <f t="shared" ref="M122" si="168">ROUND(F122*$K122,2)</f>
        <v>0</v>
      </c>
      <c r="N122" s="71">
        <f t="shared" ref="N122" si="169">ROUND(G122*$K122,2)</f>
        <v>0</v>
      </c>
      <c r="O122" s="71">
        <f t="shared" ref="O122" si="170">ROUND(H122*$K122,2)</f>
        <v>0</v>
      </c>
      <c r="P122" s="71">
        <f t="shared" ref="P122" si="171">ROUND(I122*$K122,2)</f>
        <v>1639.44</v>
      </c>
      <c r="Q122" s="71">
        <f t="shared" si="140"/>
        <v>0</v>
      </c>
      <c r="R122" s="71">
        <f t="shared" si="141"/>
        <v>0</v>
      </c>
      <c r="S122" s="39">
        <f t="shared" si="142"/>
        <v>100</v>
      </c>
      <c r="T122" s="34">
        <f t="shared" si="139"/>
        <v>0</v>
      </c>
      <c r="Y122" s="237">
        <f t="shared" si="138"/>
        <v>0</v>
      </c>
    </row>
    <row r="123" spans="1:25" customFormat="1" ht="25.5" x14ac:dyDescent="0.2">
      <c r="A123" s="345" t="s">
        <v>312</v>
      </c>
      <c r="B123" s="348" t="s">
        <v>313</v>
      </c>
      <c r="C123" s="345" t="s">
        <v>314</v>
      </c>
      <c r="D123" s="40" t="s">
        <v>77</v>
      </c>
      <c r="E123" s="363">
        <v>4.2</v>
      </c>
      <c r="F123" s="103">
        <v>0</v>
      </c>
      <c r="G123" s="103"/>
      <c r="H123" s="103">
        <f t="shared" si="166"/>
        <v>0</v>
      </c>
      <c r="I123" s="368">
        <f t="shared" si="167"/>
        <v>4.2</v>
      </c>
      <c r="J123" s="368">
        <v>22.92</v>
      </c>
      <c r="K123" s="41">
        <f t="shared" si="161"/>
        <v>27.98</v>
      </c>
      <c r="L123" s="41">
        <f>TRUNC(E123*K123,2)</f>
        <v>117.51</v>
      </c>
      <c r="M123" s="71">
        <f t="shared" ref="M123" si="172">ROUND(F123*$K123,2)</f>
        <v>0</v>
      </c>
      <c r="N123" s="71">
        <f t="shared" ref="N123" si="173">ROUND(G123*$K123,2)</f>
        <v>0</v>
      </c>
      <c r="O123" s="71">
        <f t="shared" ref="O123" si="174">ROUND(H123*$K123,2)</f>
        <v>0</v>
      </c>
      <c r="P123" s="71">
        <f>L123-O123</f>
        <v>117.51</v>
      </c>
      <c r="Q123" s="71">
        <f t="shared" si="140"/>
        <v>0</v>
      </c>
      <c r="R123" s="71">
        <f t="shared" si="141"/>
        <v>0</v>
      </c>
      <c r="S123" s="39">
        <f t="shared" si="142"/>
        <v>100</v>
      </c>
      <c r="T123" s="34">
        <f t="shared" si="139"/>
        <v>0</v>
      </c>
      <c r="Y123" s="237">
        <f t="shared" si="138"/>
        <v>0</v>
      </c>
    </row>
    <row r="124" spans="1:25" customFormat="1" ht="12.75" x14ac:dyDescent="0.2">
      <c r="A124" s="65" t="s">
        <v>315</v>
      </c>
      <c r="B124" s="66"/>
      <c r="C124" s="65" t="s">
        <v>316</v>
      </c>
      <c r="D124" s="67"/>
      <c r="E124" s="369" t="s">
        <v>46</v>
      </c>
      <c r="F124" s="370"/>
      <c r="G124" s="370"/>
      <c r="H124" s="370"/>
      <c r="I124" s="370"/>
      <c r="J124" s="372" t="s">
        <v>46</v>
      </c>
      <c r="K124" s="68"/>
      <c r="L124" s="74">
        <f>L125</f>
        <v>15125.35</v>
      </c>
      <c r="M124" s="74">
        <f t="shared" ref="M124:P124" si="175">M125</f>
        <v>0</v>
      </c>
      <c r="N124" s="74">
        <f t="shared" si="175"/>
        <v>0</v>
      </c>
      <c r="O124" s="74">
        <f t="shared" si="175"/>
        <v>0</v>
      </c>
      <c r="P124" s="74">
        <f t="shared" si="175"/>
        <v>15125.35</v>
      </c>
      <c r="Q124" s="74">
        <f t="shared" si="140"/>
        <v>0</v>
      </c>
      <c r="R124" s="74">
        <f t="shared" si="141"/>
        <v>0</v>
      </c>
      <c r="S124" s="70">
        <f t="shared" si="142"/>
        <v>100</v>
      </c>
      <c r="T124" s="34">
        <f t="shared" si="139"/>
        <v>0</v>
      </c>
      <c r="Y124" s="237">
        <f t="shared" si="138"/>
        <v>0</v>
      </c>
    </row>
    <row r="125" spans="1:25" customFormat="1" ht="25.5" x14ac:dyDescent="0.2">
      <c r="A125" s="345" t="s">
        <v>317</v>
      </c>
      <c r="B125" s="348" t="s">
        <v>318</v>
      </c>
      <c r="C125" s="345" t="s">
        <v>319</v>
      </c>
      <c r="D125" s="40" t="s">
        <v>77</v>
      </c>
      <c r="E125" s="363">
        <v>5.25</v>
      </c>
      <c r="F125" s="103">
        <v>0</v>
      </c>
      <c r="G125" s="103"/>
      <c r="H125" s="103">
        <f t="shared" ref="H125" si="176">F125+G125</f>
        <v>0</v>
      </c>
      <c r="I125" s="368">
        <f t="shared" ref="I125" si="177">ROUND(E125-H125,2)</f>
        <v>5.25</v>
      </c>
      <c r="J125" s="368">
        <v>2359.37</v>
      </c>
      <c r="K125" s="41">
        <f>TRUNC(J125*1.2211,2)</f>
        <v>2881.02</v>
      </c>
      <c r="L125" s="41">
        <f>TRUNC(E125*K125,2)</f>
        <v>15125.35</v>
      </c>
      <c r="M125" s="71">
        <f t="shared" ref="M125" si="178">ROUND(F125*$K125,2)</f>
        <v>0</v>
      </c>
      <c r="N125" s="71">
        <f t="shared" ref="N125" si="179">ROUND(G125*$K125,2)</f>
        <v>0</v>
      </c>
      <c r="O125" s="71">
        <f t="shared" ref="O125" si="180">ROUND(H125*$K125,2)</f>
        <v>0</v>
      </c>
      <c r="P125" s="71">
        <f>L125-O125</f>
        <v>15125.35</v>
      </c>
      <c r="Q125" s="71">
        <f t="shared" si="140"/>
        <v>0</v>
      </c>
      <c r="R125" s="71">
        <f t="shared" si="141"/>
        <v>0</v>
      </c>
      <c r="S125" s="39">
        <f t="shared" si="142"/>
        <v>100</v>
      </c>
      <c r="T125" s="34">
        <f t="shared" si="139"/>
        <v>0</v>
      </c>
      <c r="Y125" s="237">
        <f t="shared" si="138"/>
        <v>0</v>
      </c>
    </row>
    <row r="126" spans="1:25" customFormat="1" ht="12.75" x14ac:dyDescent="0.2">
      <c r="A126" s="54" t="s">
        <v>320</v>
      </c>
      <c r="B126" s="55"/>
      <c r="C126" s="54" t="s">
        <v>321</v>
      </c>
      <c r="D126" s="56"/>
      <c r="E126" s="366" t="s">
        <v>46</v>
      </c>
      <c r="F126" s="367"/>
      <c r="G126" s="367"/>
      <c r="H126" s="367"/>
      <c r="I126" s="367"/>
      <c r="J126" s="57" t="s">
        <v>46</v>
      </c>
      <c r="K126" s="58"/>
      <c r="L126" s="72">
        <f>L127+L129+L136+L146+L156</f>
        <v>4362162.92</v>
      </c>
      <c r="M126" s="72">
        <f t="shared" ref="M126:P126" si="181">M127+M129+M136+M146+M156</f>
        <v>3362193.5299999993</v>
      </c>
      <c r="N126" s="72">
        <f t="shared" si="181"/>
        <v>578952.76</v>
      </c>
      <c r="O126" s="72">
        <f t="shared" si="181"/>
        <v>3941146.2799999993</v>
      </c>
      <c r="P126" s="72">
        <f t="shared" si="181"/>
        <v>421016.31</v>
      </c>
      <c r="Q126" s="72">
        <f t="shared" si="140"/>
        <v>13.272148945780321</v>
      </c>
      <c r="R126" s="72">
        <f t="shared" si="141"/>
        <v>90.348443015053618</v>
      </c>
      <c r="S126" s="60">
        <f t="shared" si="142"/>
        <v>9.651549419891909</v>
      </c>
      <c r="T126" s="34">
        <f t="shared" si="139"/>
        <v>3941146.61</v>
      </c>
      <c r="Y126" s="237">
        <f t="shared" si="138"/>
        <v>0.90348443015053626</v>
      </c>
    </row>
    <row r="127" spans="1:25" customFormat="1" ht="12.75" x14ac:dyDescent="0.2">
      <c r="A127" s="47" t="s">
        <v>322</v>
      </c>
      <c r="B127" s="48"/>
      <c r="C127" s="47" t="s">
        <v>323</v>
      </c>
      <c r="D127" s="49"/>
      <c r="E127" s="364" t="s">
        <v>46</v>
      </c>
      <c r="F127" s="365"/>
      <c r="G127" s="365"/>
      <c r="H127" s="365"/>
      <c r="I127" s="365"/>
      <c r="J127" s="50" t="s">
        <v>46</v>
      </c>
      <c r="K127" s="51"/>
      <c r="L127" s="73">
        <f>L128</f>
        <v>50921.79</v>
      </c>
      <c r="M127" s="73">
        <f t="shared" ref="M127:P127" si="182">M128</f>
        <v>50884.480000000003</v>
      </c>
      <c r="N127" s="73">
        <f t="shared" si="182"/>
        <v>0</v>
      </c>
      <c r="O127" s="73">
        <f t="shared" si="182"/>
        <v>50884.480000000003</v>
      </c>
      <c r="P127" s="73">
        <f t="shared" si="182"/>
        <v>37.31</v>
      </c>
      <c r="Q127" s="73">
        <f t="shared" si="140"/>
        <v>0</v>
      </c>
      <c r="R127" s="73">
        <f t="shared" si="141"/>
        <v>99.926730776746069</v>
      </c>
      <c r="S127" s="53">
        <f t="shared" si="142"/>
        <v>7.3269223253935103E-2</v>
      </c>
      <c r="T127" s="34">
        <f t="shared" si="139"/>
        <v>50884.480000000003</v>
      </c>
      <c r="Y127" s="237">
        <f t="shared" si="138"/>
        <v>0.99926730776746064</v>
      </c>
    </row>
    <row r="128" spans="1:25" customFormat="1" ht="12.75" x14ac:dyDescent="0.2">
      <c r="A128" s="345" t="s">
        <v>324</v>
      </c>
      <c r="B128" s="38"/>
      <c r="C128" s="345" t="s">
        <v>325</v>
      </c>
      <c r="D128" s="40" t="s">
        <v>43</v>
      </c>
      <c r="E128" s="363">
        <v>73799.7</v>
      </c>
      <c r="F128" s="103">
        <v>73745.628000000012</v>
      </c>
      <c r="G128" s="103"/>
      <c r="H128" s="103">
        <f t="shared" ref="H128" si="183">F128+G128</f>
        <v>73745.628000000012</v>
      </c>
      <c r="I128" s="368">
        <f t="shared" ref="I128" si="184">ROUND(E128-H128,2)</f>
        <v>54.07</v>
      </c>
      <c r="J128" s="368">
        <v>0.56999999999999995</v>
      </c>
      <c r="K128" s="41">
        <f>TRUNC(J128*1.2211,2)</f>
        <v>0.69</v>
      </c>
      <c r="L128" s="41">
        <f>TRUNC(E128*K128,2)</f>
        <v>50921.79</v>
      </c>
      <c r="M128" s="71">
        <f t="shared" ref="M128" si="185">ROUND(F128*$K128,2)</f>
        <v>50884.480000000003</v>
      </c>
      <c r="N128" s="71">
        <f t="shared" ref="N128" si="186">ROUND(G128*$K128,2)</f>
        <v>0</v>
      </c>
      <c r="O128" s="71">
        <f t="shared" ref="O128" si="187">ROUND(H128*$K128,2)</f>
        <v>50884.480000000003</v>
      </c>
      <c r="P128" s="71">
        <f t="shared" ref="P128" si="188">ROUND(I128*$K128,2)</f>
        <v>37.31</v>
      </c>
      <c r="Q128" s="71">
        <f t="shared" si="140"/>
        <v>0</v>
      </c>
      <c r="R128" s="71">
        <f t="shared" si="141"/>
        <v>99.926730776746069</v>
      </c>
      <c r="S128" s="39">
        <f t="shared" si="142"/>
        <v>7.3269223253935103E-2</v>
      </c>
      <c r="T128" s="34">
        <f t="shared" si="139"/>
        <v>50884.480000000003</v>
      </c>
      <c r="Y128" s="237">
        <f t="shared" si="138"/>
        <v>0.99926730776746064</v>
      </c>
    </row>
    <row r="129" spans="1:25" customFormat="1" ht="12.75" x14ac:dyDescent="0.2">
      <c r="A129" s="47" t="s">
        <v>326</v>
      </c>
      <c r="B129" s="48"/>
      <c r="C129" s="47" t="s">
        <v>327</v>
      </c>
      <c r="D129" s="49"/>
      <c r="E129" s="364" t="s">
        <v>46</v>
      </c>
      <c r="F129" s="365"/>
      <c r="G129" s="365"/>
      <c r="H129" s="365"/>
      <c r="I129" s="365"/>
      <c r="J129" s="50" t="s">
        <v>46</v>
      </c>
      <c r="K129" s="51"/>
      <c r="L129" s="73">
        <f>L130+L134</f>
        <v>1103096.31</v>
      </c>
      <c r="M129" s="73">
        <f t="shared" ref="M129:P129" si="189">M130+M134</f>
        <v>1095359.1499999999</v>
      </c>
      <c r="N129" s="73">
        <f t="shared" si="189"/>
        <v>0</v>
      </c>
      <c r="O129" s="73">
        <f t="shared" si="189"/>
        <v>1095359.1499999999</v>
      </c>
      <c r="P129" s="73">
        <f t="shared" si="189"/>
        <v>7737.0800000000108</v>
      </c>
      <c r="Q129" s="73">
        <f t="shared" si="140"/>
        <v>0</v>
      </c>
      <c r="R129" s="73">
        <f t="shared" si="141"/>
        <v>99.298596148871155</v>
      </c>
      <c r="S129" s="53">
        <f t="shared" si="142"/>
        <v>0.70139659881556582</v>
      </c>
      <c r="T129" s="34">
        <f t="shared" si="139"/>
        <v>1095359.23</v>
      </c>
      <c r="Y129" s="237">
        <f t="shared" si="138"/>
        <v>0.99298596148871154</v>
      </c>
    </row>
    <row r="130" spans="1:25" customFormat="1" ht="12.75" x14ac:dyDescent="0.2">
      <c r="A130" s="65" t="s">
        <v>328</v>
      </c>
      <c r="B130" s="66"/>
      <c r="C130" s="65" t="s">
        <v>329</v>
      </c>
      <c r="D130" s="67"/>
      <c r="E130" s="369" t="s">
        <v>46</v>
      </c>
      <c r="F130" s="370"/>
      <c r="G130" s="370"/>
      <c r="H130" s="370"/>
      <c r="I130" s="370"/>
      <c r="J130" s="372" t="s">
        <v>46</v>
      </c>
      <c r="K130" s="68"/>
      <c r="L130" s="74">
        <f>SUM(L131:L133)</f>
        <v>745803.96</v>
      </c>
      <c r="M130" s="74">
        <f t="shared" ref="M130:P130" si="190">SUM(M131:M133)</f>
        <v>745803.98</v>
      </c>
      <c r="N130" s="74">
        <f t="shared" si="190"/>
        <v>0</v>
      </c>
      <c r="O130" s="74">
        <f t="shared" si="190"/>
        <v>745803.98</v>
      </c>
      <c r="P130" s="74">
        <f t="shared" si="190"/>
        <v>-1.9999999989522621E-2</v>
      </c>
      <c r="Q130" s="74">
        <f t="shared" si="140"/>
        <v>0</v>
      </c>
      <c r="R130" s="74">
        <f t="shared" si="141"/>
        <v>100.00000268166987</v>
      </c>
      <c r="S130" s="70">
        <f t="shared" si="142"/>
        <v>-2.6816698572534559E-6</v>
      </c>
      <c r="T130" s="34">
        <f t="shared" si="139"/>
        <v>745803.98</v>
      </c>
      <c r="Y130" s="237">
        <f t="shared" si="138"/>
        <v>1.0000000268166986</v>
      </c>
    </row>
    <row r="131" spans="1:25" customFormat="1" ht="25.5" x14ac:dyDescent="0.2">
      <c r="A131" s="345" t="s">
        <v>330</v>
      </c>
      <c r="B131" s="348" t="s">
        <v>81</v>
      </c>
      <c r="C131" s="345" t="s">
        <v>82</v>
      </c>
      <c r="D131" s="40" t="s">
        <v>77</v>
      </c>
      <c r="E131" s="363">
        <v>32506.82</v>
      </c>
      <c r="F131" s="103">
        <v>32506.820000000025</v>
      </c>
      <c r="G131" s="103"/>
      <c r="H131" s="103">
        <f t="shared" ref="H131" si="191">F131+G131</f>
        <v>32506.820000000025</v>
      </c>
      <c r="I131" s="368">
        <f t="shared" ref="I131" si="192">ROUND(E131-H131,2)</f>
        <v>0</v>
      </c>
      <c r="J131" s="368">
        <v>6.65</v>
      </c>
      <c r="K131" s="41">
        <f t="shared" ref="K131:K133" si="193">TRUNC(J131*1.2211,2)</f>
        <v>8.1199999999999992</v>
      </c>
      <c r="L131" s="41">
        <f>TRUNC(E131*K131,2)</f>
        <v>263955.37</v>
      </c>
      <c r="M131" s="71">
        <f t="shared" ref="M131" si="194">ROUND(F131*$K131,2)</f>
        <v>263955.38</v>
      </c>
      <c r="N131" s="71">
        <f t="shared" ref="N131" si="195">ROUND(G131*$K131,2)</f>
        <v>0</v>
      </c>
      <c r="O131" s="71">
        <f t="shared" ref="O131" si="196">ROUND(H131*$K131,2)</f>
        <v>263955.38</v>
      </c>
      <c r="P131" s="71">
        <f>L131-O131</f>
        <v>-1.0000000009313226E-2</v>
      </c>
      <c r="Q131" s="71">
        <f t="shared" si="140"/>
        <v>0</v>
      </c>
      <c r="R131" s="71">
        <f t="shared" si="141"/>
        <v>100.00000378851925</v>
      </c>
      <c r="S131" s="39">
        <f t="shared" si="142"/>
        <v>-3.7885192520664482E-6</v>
      </c>
      <c r="T131" s="34">
        <f t="shared" si="139"/>
        <v>263955.38</v>
      </c>
      <c r="Y131" s="237">
        <f t="shared" si="138"/>
        <v>1.0000000378851925</v>
      </c>
    </row>
    <row r="132" spans="1:25" customFormat="1" ht="25.5" x14ac:dyDescent="0.2">
      <c r="A132" s="345" t="s">
        <v>333</v>
      </c>
      <c r="B132" s="38">
        <v>5914389</v>
      </c>
      <c r="C132" s="345" t="s">
        <v>334</v>
      </c>
      <c r="D132" s="40" t="s">
        <v>85</v>
      </c>
      <c r="E132" s="363">
        <v>153594.72</v>
      </c>
      <c r="F132" s="103">
        <v>153594.72300000011</v>
      </c>
      <c r="G132" s="103"/>
      <c r="H132" s="103">
        <f t="shared" ref="H132:H133" si="197">F132+G132</f>
        <v>153594.72300000011</v>
      </c>
      <c r="I132" s="368">
        <f t="shared" ref="I132:I133" si="198">ROUND(E132-H132,2)</f>
        <v>0</v>
      </c>
      <c r="J132" s="368">
        <v>0.81</v>
      </c>
      <c r="K132" s="41">
        <f t="shared" si="193"/>
        <v>0.98</v>
      </c>
      <c r="L132" s="41">
        <f>TRUNC(E132*K132,2)</f>
        <v>150522.82</v>
      </c>
      <c r="M132" s="71">
        <f t="shared" ref="M132:M133" si="199">ROUND(F132*$K132,2)</f>
        <v>150522.82999999999</v>
      </c>
      <c r="N132" s="71">
        <f t="shared" ref="N132:N133" si="200">ROUND(G132*$K132,2)</f>
        <v>0</v>
      </c>
      <c r="O132" s="71">
        <f t="shared" ref="O132:O133" si="201">ROUND(H132*$K132,2)</f>
        <v>150522.82999999999</v>
      </c>
      <c r="P132" s="71">
        <f>L132-O132</f>
        <v>-9.9999999802093953E-3</v>
      </c>
      <c r="Q132" s="71">
        <f t="shared" si="140"/>
        <v>0</v>
      </c>
      <c r="R132" s="71">
        <f t="shared" si="141"/>
        <v>100.00000664351091</v>
      </c>
      <c r="S132" s="39">
        <f t="shared" si="142"/>
        <v>-6.6435109176199304E-6</v>
      </c>
      <c r="T132" s="34">
        <f t="shared" si="139"/>
        <v>150522.82999999999</v>
      </c>
      <c r="Y132" s="237">
        <f t="shared" si="138"/>
        <v>1.0000000664351092</v>
      </c>
    </row>
    <row r="133" spans="1:25" customFormat="1" ht="25.5" x14ac:dyDescent="0.2">
      <c r="A133" s="345" t="s">
        <v>337</v>
      </c>
      <c r="B133" s="38">
        <v>5914359</v>
      </c>
      <c r="C133" s="345" t="s">
        <v>84</v>
      </c>
      <c r="D133" s="40" t="s">
        <v>85</v>
      </c>
      <c r="E133" s="363">
        <v>219421.04</v>
      </c>
      <c r="F133" s="103">
        <v>219421.04200000002</v>
      </c>
      <c r="G133" s="103"/>
      <c r="H133" s="103">
        <f t="shared" si="197"/>
        <v>219421.04200000002</v>
      </c>
      <c r="I133" s="368">
        <f t="shared" si="198"/>
        <v>0</v>
      </c>
      <c r="J133" s="368">
        <v>1.24</v>
      </c>
      <c r="K133" s="41">
        <f t="shared" si="193"/>
        <v>1.51</v>
      </c>
      <c r="L133" s="41">
        <f>TRUNC(E133*K133,2)</f>
        <v>331325.77</v>
      </c>
      <c r="M133" s="71">
        <f t="shared" si="199"/>
        <v>331325.77</v>
      </c>
      <c r="N133" s="71">
        <f t="shared" si="200"/>
        <v>0</v>
      </c>
      <c r="O133" s="71">
        <f t="shared" si="201"/>
        <v>331325.77</v>
      </c>
      <c r="P133" s="71">
        <f t="shared" ref="P133" si="202">ROUND(I133*$K133,2)</f>
        <v>0</v>
      </c>
      <c r="Q133" s="71">
        <f t="shared" si="140"/>
        <v>0</v>
      </c>
      <c r="R133" s="71">
        <f t="shared" si="141"/>
        <v>100</v>
      </c>
      <c r="S133" s="39">
        <f t="shared" si="142"/>
        <v>0</v>
      </c>
      <c r="T133" s="34">
        <f t="shared" si="139"/>
        <v>331325.77</v>
      </c>
      <c r="Y133" s="237">
        <f t="shared" si="138"/>
        <v>1</v>
      </c>
    </row>
    <row r="134" spans="1:25" customFormat="1" ht="12.75" x14ac:dyDescent="0.2">
      <c r="A134" s="65" t="s">
        <v>340</v>
      </c>
      <c r="B134" s="66"/>
      <c r="C134" s="65" t="s">
        <v>341</v>
      </c>
      <c r="D134" s="67"/>
      <c r="E134" s="369" t="s">
        <v>46</v>
      </c>
      <c r="F134" s="370"/>
      <c r="G134" s="370"/>
      <c r="H134" s="370"/>
      <c r="I134" s="370"/>
      <c r="J134" s="372" t="s">
        <v>46</v>
      </c>
      <c r="K134" s="68"/>
      <c r="L134" s="74">
        <f>SUM(L135)</f>
        <v>357292.35</v>
      </c>
      <c r="M134" s="74">
        <f t="shared" ref="M134:P134" si="203">SUM(M135)</f>
        <v>349555.17</v>
      </c>
      <c r="N134" s="74">
        <f t="shared" si="203"/>
        <v>0</v>
      </c>
      <c r="O134" s="74">
        <f t="shared" si="203"/>
        <v>349555.17</v>
      </c>
      <c r="P134" s="74">
        <f t="shared" si="203"/>
        <v>7737.1</v>
      </c>
      <c r="Q134" s="74">
        <f t="shared" si="140"/>
        <v>0</v>
      </c>
      <c r="R134" s="74">
        <f t="shared" si="141"/>
        <v>97.834496036648972</v>
      </c>
      <c r="S134" s="70">
        <f t="shared" si="142"/>
        <v>2.1654815727232894</v>
      </c>
      <c r="T134" s="34">
        <f t="shared" si="139"/>
        <v>349555.25</v>
      </c>
      <c r="Y134" s="237">
        <f t="shared" si="138"/>
        <v>0.97834496036648977</v>
      </c>
    </row>
    <row r="135" spans="1:25" customFormat="1" ht="12.75" x14ac:dyDescent="0.2">
      <c r="A135" s="345" t="s">
        <v>342</v>
      </c>
      <c r="B135" s="348" t="s">
        <v>343</v>
      </c>
      <c r="C135" s="345" t="s">
        <v>344</v>
      </c>
      <c r="D135" s="40" t="s">
        <v>77</v>
      </c>
      <c r="E135" s="363">
        <v>22613.439999999999</v>
      </c>
      <c r="F135" s="103">
        <v>22123.745200000023</v>
      </c>
      <c r="G135" s="103"/>
      <c r="H135" s="103">
        <f t="shared" ref="H135" si="204">F135+G135</f>
        <v>22123.745200000023</v>
      </c>
      <c r="I135" s="368">
        <f t="shared" ref="I135" si="205">ROUND(E135-H135,2)</f>
        <v>489.69</v>
      </c>
      <c r="J135" s="368">
        <v>12.94</v>
      </c>
      <c r="K135" s="41">
        <f>TRUNC(J135*1.2211,2)</f>
        <v>15.8</v>
      </c>
      <c r="L135" s="41">
        <f>TRUNC(E135*K135,2)</f>
        <v>357292.35</v>
      </c>
      <c r="M135" s="71">
        <f t="shared" ref="M135" si="206">ROUND(F135*$K135,2)</f>
        <v>349555.17</v>
      </c>
      <c r="N135" s="71">
        <f t="shared" ref="N135" si="207">ROUND(G135*$K135,2)</f>
        <v>0</v>
      </c>
      <c r="O135" s="71">
        <f t="shared" ref="O135" si="208">ROUND(H135*$K135,2)</f>
        <v>349555.17</v>
      </c>
      <c r="P135" s="71">
        <f t="shared" ref="P135" si="209">ROUND(I135*$K135,2)</f>
        <v>7737.1</v>
      </c>
      <c r="Q135" s="71">
        <f t="shared" si="140"/>
        <v>0</v>
      </c>
      <c r="R135" s="71">
        <f t="shared" si="141"/>
        <v>97.834496036648972</v>
      </c>
      <c r="S135" s="39">
        <f t="shared" si="142"/>
        <v>2.1654815727232894</v>
      </c>
      <c r="T135" s="34">
        <f t="shared" si="139"/>
        <v>349555.25</v>
      </c>
      <c r="Y135" s="237">
        <f t="shared" si="138"/>
        <v>0.97834496036648977</v>
      </c>
    </row>
    <row r="136" spans="1:25" customFormat="1" ht="12.75" x14ac:dyDescent="0.2">
      <c r="A136" s="47" t="s">
        <v>345</v>
      </c>
      <c r="B136" s="48"/>
      <c r="C136" s="47" t="s">
        <v>346</v>
      </c>
      <c r="D136" s="49"/>
      <c r="E136" s="364" t="s">
        <v>46</v>
      </c>
      <c r="F136" s="365"/>
      <c r="G136" s="365"/>
      <c r="H136" s="365"/>
      <c r="I136" s="365"/>
      <c r="J136" s="50" t="s">
        <v>46</v>
      </c>
      <c r="K136" s="51"/>
      <c r="L136" s="73">
        <f>L137+L141+L144</f>
        <v>1040170.4700000001</v>
      </c>
      <c r="M136" s="73">
        <f t="shared" ref="M136:P136" si="210">M137+M141+M144</f>
        <v>1027656.0999999999</v>
      </c>
      <c r="N136" s="73">
        <f t="shared" si="210"/>
        <v>0</v>
      </c>
      <c r="O136" s="73">
        <f t="shared" si="210"/>
        <v>1027656.0899999999</v>
      </c>
      <c r="P136" s="73">
        <f t="shared" si="210"/>
        <v>12514.410000000011</v>
      </c>
      <c r="Q136" s="73">
        <f t="shared" si="140"/>
        <v>0</v>
      </c>
      <c r="R136" s="73">
        <f t="shared" si="141"/>
        <v>98.796891436458466</v>
      </c>
      <c r="S136" s="53">
        <f t="shared" si="142"/>
        <v>1.2031114476841485</v>
      </c>
      <c r="T136" s="34">
        <f t="shared" si="139"/>
        <v>1027656.06</v>
      </c>
      <c r="Y136" s="237">
        <f t="shared" si="138"/>
        <v>0.98796891436458467</v>
      </c>
    </row>
    <row r="137" spans="1:25" customFormat="1" ht="12.75" x14ac:dyDescent="0.2">
      <c r="A137" s="65" t="s">
        <v>347</v>
      </c>
      <c r="B137" s="66"/>
      <c r="C137" s="65" t="s">
        <v>348</v>
      </c>
      <c r="D137" s="67"/>
      <c r="E137" s="369" t="s">
        <v>46</v>
      </c>
      <c r="F137" s="370"/>
      <c r="G137" s="370"/>
      <c r="H137" s="370"/>
      <c r="I137" s="370"/>
      <c r="J137" s="372" t="s">
        <v>46</v>
      </c>
      <c r="K137" s="68"/>
      <c r="L137" s="74">
        <f>SUM(L138:L140)</f>
        <v>239321.71000000002</v>
      </c>
      <c r="M137" s="74">
        <f t="shared" ref="M137:P137" si="211">SUM(M138:M140)</f>
        <v>239321.71000000002</v>
      </c>
      <c r="N137" s="74">
        <f t="shared" si="211"/>
        <v>0</v>
      </c>
      <c r="O137" s="74">
        <f t="shared" si="211"/>
        <v>239321.71000000002</v>
      </c>
      <c r="P137" s="74">
        <f t="shared" si="211"/>
        <v>0</v>
      </c>
      <c r="Q137" s="74">
        <f t="shared" si="140"/>
        <v>0</v>
      </c>
      <c r="R137" s="74">
        <f t="shared" si="141"/>
        <v>100</v>
      </c>
      <c r="S137" s="70">
        <f t="shared" si="142"/>
        <v>0</v>
      </c>
      <c r="T137" s="34">
        <f t="shared" si="139"/>
        <v>239321.71000000002</v>
      </c>
      <c r="Y137" s="237">
        <f t="shared" si="138"/>
        <v>1</v>
      </c>
    </row>
    <row r="138" spans="1:25" customFormat="1" ht="25.5" x14ac:dyDescent="0.2">
      <c r="A138" s="345" t="s">
        <v>349</v>
      </c>
      <c r="B138" s="348" t="s">
        <v>350</v>
      </c>
      <c r="C138" s="345" t="s">
        <v>351</v>
      </c>
      <c r="D138" s="40" t="s">
        <v>77</v>
      </c>
      <c r="E138" s="363">
        <v>10649.3</v>
      </c>
      <c r="F138" s="103">
        <v>10649.298748000003</v>
      </c>
      <c r="G138" s="103"/>
      <c r="H138" s="103">
        <f t="shared" ref="H138" si="212">F138+G138</f>
        <v>10649.298748000003</v>
      </c>
      <c r="I138" s="368">
        <f t="shared" ref="I138" si="213">ROUND(E138-H138,2)</f>
        <v>0</v>
      </c>
      <c r="J138" s="368">
        <v>6.27</v>
      </c>
      <c r="K138" s="41">
        <f t="shared" ref="K138:K140" si="214">TRUNC(J138*1.2211,2)</f>
        <v>7.65</v>
      </c>
      <c r="L138" s="41">
        <f>TRUNC(E138*K138,2)</f>
        <v>81467.14</v>
      </c>
      <c r="M138" s="71">
        <f t="shared" ref="M138" si="215">ROUND(F138*$K138,2)</f>
        <v>81467.14</v>
      </c>
      <c r="N138" s="71">
        <f t="shared" ref="N138" si="216">ROUND(G138*$K138,2)</f>
        <v>0</v>
      </c>
      <c r="O138" s="71">
        <f t="shared" ref="O138" si="217">ROUND(H138*$K138,2)</f>
        <v>81467.14</v>
      </c>
      <c r="P138" s="71">
        <f>L138-O138</f>
        <v>0</v>
      </c>
      <c r="Q138" s="71">
        <f t="shared" si="140"/>
        <v>0</v>
      </c>
      <c r="R138" s="71">
        <f t="shared" si="141"/>
        <v>100</v>
      </c>
      <c r="S138" s="39">
        <f t="shared" si="142"/>
        <v>0</v>
      </c>
      <c r="T138" s="34">
        <f t="shared" si="139"/>
        <v>81467.14</v>
      </c>
      <c r="Y138" s="237">
        <f t="shared" si="138"/>
        <v>1</v>
      </c>
    </row>
    <row r="139" spans="1:25" customFormat="1" ht="25.5" x14ac:dyDescent="0.2">
      <c r="A139" s="345" t="s">
        <v>352</v>
      </c>
      <c r="B139" s="38">
        <v>5914389</v>
      </c>
      <c r="C139" s="345" t="s">
        <v>334</v>
      </c>
      <c r="D139" s="40" t="s">
        <v>85</v>
      </c>
      <c r="E139" s="363">
        <v>50317.94</v>
      </c>
      <c r="F139" s="103">
        <v>50317.937218999999</v>
      </c>
      <c r="G139" s="103"/>
      <c r="H139" s="103">
        <f t="shared" ref="H139:H140" si="218">F139+G139</f>
        <v>50317.937218999999</v>
      </c>
      <c r="I139" s="368">
        <f t="shared" ref="I139:I140" si="219">ROUND(E139-H139,2)</f>
        <v>0</v>
      </c>
      <c r="J139" s="368">
        <v>0.81</v>
      </c>
      <c r="K139" s="41">
        <f t="shared" si="214"/>
        <v>0.98</v>
      </c>
      <c r="L139" s="41">
        <f>TRUNC(E139*K139,2)</f>
        <v>49311.58</v>
      </c>
      <c r="M139" s="71">
        <f t="shared" ref="M139:M140" si="220">ROUND(F139*$K139,2)</f>
        <v>49311.58</v>
      </c>
      <c r="N139" s="71">
        <f t="shared" ref="N139:N140" si="221">ROUND(G139*$K139,2)</f>
        <v>0</v>
      </c>
      <c r="O139" s="71">
        <f t="shared" ref="O139:O140" si="222">ROUND(H139*$K139,2)</f>
        <v>49311.58</v>
      </c>
      <c r="P139" s="71">
        <f t="shared" ref="P139" si="223">ROUND(I139*$K139,2)</f>
        <v>0</v>
      </c>
      <c r="Q139" s="71">
        <f t="shared" si="140"/>
        <v>0</v>
      </c>
      <c r="R139" s="71">
        <f t="shared" si="141"/>
        <v>100</v>
      </c>
      <c r="S139" s="39">
        <f t="shared" si="142"/>
        <v>0</v>
      </c>
      <c r="T139" s="34">
        <f t="shared" si="139"/>
        <v>49311.58</v>
      </c>
      <c r="Y139" s="237">
        <f t="shared" si="138"/>
        <v>1</v>
      </c>
    </row>
    <row r="140" spans="1:25" customFormat="1" ht="25.5" x14ac:dyDescent="0.2">
      <c r="A140" s="345" t="s">
        <v>353</v>
      </c>
      <c r="B140" s="38">
        <v>5914359</v>
      </c>
      <c r="C140" s="345" t="s">
        <v>84</v>
      </c>
      <c r="D140" s="40" t="s">
        <v>85</v>
      </c>
      <c r="E140" s="363">
        <v>71882.78</v>
      </c>
      <c r="F140" s="103">
        <v>71882.777000000002</v>
      </c>
      <c r="G140" s="103"/>
      <c r="H140" s="103">
        <f t="shared" si="218"/>
        <v>71882.777000000002</v>
      </c>
      <c r="I140" s="368">
        <f t="shared" si="219"/>
        <v>0</v>
      </c>
      <c r="J140" s="368">
        <v>1.24</v>
      </c>
      <c r="K140" s="41">
        <f t="shared" si="214"/>
        <v>1.51</v>
      </c>
      <c r="L140" s="41">
        <f>TRUNC(E140*K140,2)</f>
        <v>108542.99</v>
      </c>
      <c r="M140" s="71">
        <f t="shared" si="220"/>
        <v>108542.99</v>
      </c>
      <c r="N140" s="71">
        <f t="shared" si="221"/>
        <v>0</v>
      </c>
      <c r="O140" s="71">
        <f t="shared" si="222"/>
        <v>108542.99</v>
      </c>
      <c r="P140" s="71">
        <f>L140-O140</f>
        <v>0</v>
      </c>
      <c r="Q140" s="71">
        <f t="shared" si="140"/>
        <v>0</v>
      </c>
      <c r="R140" s="71">
        <f t="shared" si="141"/>
        <v>100</v>
      </c>
      <c r="S140" s="39">
        <f t="shared" si="142"/>
        <v>0</v>
      </c>
      <c r="T140" s="34">
        <f t="shared" si="139"/>
        <v>108542.99</v>
      </c>
      <c r="Y140" s="237">
        <f t="shared" si="138"/>
        <v>1</v>
      </c>
    </row>
    <row r="141" spans="1:25" customFormat="1" ht="12.75" x14ac:dyDescent="0.2">
      <c r="A141" s="65" t="s">
        <v>354</v>
      </c>
      <c r="B141" s="66"/>
      <c r="C141" s="65" t="s">
        <v>355</v>
      </c>
      <c r="D141" s="67"/>
      <c r="E141" s="369" t="s">
        <v>46</v>
      </c>
      <c r="F141" s="370"/>
      <c r="G141" s="370"/>
      <c r="H141" s="370"/>
      <c r="I141" s="370"/>
      <c r="J141" s="372" t="s">
        <v>46</v>
      </c>
      <c r="K141" s="68"/>
      <c r="L141" s="74">
        <f>SUM(L142:L143)</f>
        <v>692107.63</v>
      </c>
      <c r="M141" s="74">
        <f t="shared" ref="M141:P141" si="224">SUM(M142:M143)</f>
        <v>692107.44</v>
      </c>
      <c r="N141" s="74">
        <f t="shared" si="224"/>
        <v>0</v>
      </c>
      <c r="O141" s="74">
        <f t="shared" si="224"/>
        <v>692107.42999999993</v>
      </c>
      <c r="P141" s="74">
        <f t="shared" si="224"/>
        <v>0.20000000001164153</v>
      </c>
      <c r="Q141" s="74">
        <f t="shared" si="140"/>
        <v>0</v>
      </c>
      <c r="R141" s="74">
        <f t="shared" si="141"/>
        <v>99.999971102760412</v>
      </c>
      <c r="S141" s="70">
        <f t="shared" si="142"/>
        <v>2.8897239582757023E-5</v>
      </c>
      <c r="T141" s="34">
        <f t="shared" si="139"/>
        <v>692107.42999999993</v>
      </c>
      <c r="Y141" s="237">
        <f t="shared" ref="Y141:Y204" si="225">O141/L141</f>
        <v>0.9999997110276041</v>
      </c>
    </row>
    <row r="142" spans="1:25" customFormat="1" ht="25.5" x14ac:dyDescent="0.2">
      <c r="A142" s="345" t="s">
        <v>356</v>
      </c>
      <c r="B142" s="348" t="s">
        <v>357</v>
      </c>
      <c r="C142" s="345" t="s">
        <v>358</v>
      </c>
      <c r="D142" s="40" t="s">
        <v>77</v>
      </c>
      <c r="E142" s="363">
        <v>7572.8329999999996</v>
      </c>
      <c r="F142" s="103">
        <v>7572.83</v>
      </c>
      <c r="G142" s="368"/>
      <c r="H142" s="103">
        <f t="shared" ref="H142" si="226">F142+G142</f>
        <v>7572.83</v>
      </c>
      <c r="I142" s="368">
        <f t="shared" ref="I142" si="227">ROUND(E142-H142,2)</f>
        <v>0</v>
      </c>
      <c r="J142" s="368">
        <v>54.32</v>
      </c>
      <c r="K142" s="41">
        <f t="shared" ref="K142:K143" si="228">TRUNC(J142*1.2211,2)</f>
        <v>66.33</v>
      </c>
      <c r="L142" s="41">
        <f>TRUNC(E142*K142,2)</f>
        <v>502306.01</v>
      </c>
      <c r="M142" s="71">
        <f t="shared" ref="M142" si="229">ROUND(F142*$K142,2)</f>
        <v>502305.81</v>
      </c>
      <c r="N142" s="71">
        <f t="shared" ref="N142" si="230">ROUND(G142*$K142,2)</f>
        <v>0</v>
      </c>
      <c r="O142" s="71">
        <f t="shared" ref="O142" si="231">ROUND(H142*$K142,2)</f>
        <v>502305.81</v>
      </c>
      <c r="P142" s="71">
        <f>L142-O142</f>
        <v>0.20000000001164153</v>
      </c>
      <c r="Q142" s="71">
        <f t="shared" si="140"/>
        <v>0</v>
      </c>
      <c r="R142" s="71">
        <f t="shared" si="141"/>
        <v>99.999960183633874</v>
      </c>
      <c r="S142" s="39">
        <f t="shared" si="142"/>
        <v>3.9816366125430496E-5</v>
      </c>
      <c r="T142" s="34">
        <f t="shared" ref="T142:T207" si="232">L142-P142</f>
        <v>502305.81</v>
      </c>
      <c r="Y142" s="237">
        <f t="shared" si="225"/>
        <v>0.99999960183633874</v>
      </c>
    </row>
    <row r="143" spans="1:25" customFormat="1" ht="25.5" x14ac:dyDescent="0.2">
      <c r="A143" s="345" t="s">
        <v>359</v>
      </c>
      <c r="B143" s="38">
        <v>5914389</v>
      </c>
      <c r="C143" s="345" t="s">
        <v>334</v>
      </c>
      <c r="D143" s="40" t="s">
        <v>85</v>
      </c>
      <c r="E143" s="363">
        <v>193675.13</v>
      </c>
      <c r="F143" s="103">
        <v>193675.13405000002</v>
      </c>
      <c r="G143" s="368"/>
      <c r="H143" s="103">
        <f t="shared" ref="H143" si="233">F143+G143</f>
        <v>193675.13405000002</v>
      </c>
      <c r="I143" s="368">
        <v>0</v>
      </c>
      <c r="J143" s="368">
        <v>0.81</v>
      </c>
      <c r="K143" s="41">
        <f t="shared" si="228"/>
        <v>0.98</v>
      </c>
      <c r="L143" s="41">
        <f>TRUNC(E143*K143,2)</f>
        <v>189801.62</v>
      </c>
      <c r="M143" s="71">
        <f t="shared" ref="M143" si="234">ROUND(F143*$K143,2)</f>
        <v>189801.63</v>
      </c>
      <c r="N143" s="71">
        <f t="shared" ref="N143" si="235">ROUND(G143*$K143,2)</f>
        <v>0</v>
      </c>
      <c r="O143" s="71">
        <f>ROUND(H143*$K143,2)-0.01</f>
        <v>189801.62</v>
      </c>
      <c r="P143" s="71">
        <f>L143-O143</f>
        <v>0</v>
      </c>
      <c r="Q143" s="71">
        <f t="shared" si="140"/>
        <v>0</v>
      </c>
      <c r="R143" s="71">
        <f t="shared" si="141"/>
        <v>100</v>
      </c>
      <c r="S143" s="39">
        <f t="shared" si="142"/>
        <v>0</v>
      </c>
      <c r="T143" s="34">
        <f t="shared" si="232"/>
        <v>189801.62</v>
      </c>
      <c r="Y143" s="237">
        <f t="shared" si="225"/>
        <v>1</v>
      </c>
    </row>
    <row r="144" spans="1:25" customFormat="1" ht="12.75" x14ac:dyDescent="0.2">
      <c r="A144" s="65" t="s">
        <v>360</v>
      </c>
      <c r="B144" s="66"/>
      <c r="C144" s="65" t="s">
        <v>361</v>
      </c>
      <c r="D144" s="67"/>
      <c r="E144" s="369" t="s">
        <v>46</v>
      </c>
      <c r="F144" s="370"/>
      <c r="G144" s="370"/>
      <c r="H144" s="370"/>
      <c r="I144" s="370"/>
      <c r="J144" s="372" t="s">
        <v>46</v>
      </c>
      <c r="K144" s="68"/>
      <c r="L144" s="74">
        <f>SUM(L145)</f>
        <v>108741.13</v>
      </c>
      <c r="M144" s="74">
        <f t="shared" ref="M144:P144" si="236">SUM(M145)</f>
        <v>96226.95</v>
      </c>
      <c r="N144" s="74">
        <f t="shared" si="236"/>
        <v>0</v>
      </c>
      <c r="O144" s="74">
        <f t="shared" si="236"/>
        <v>96226.95</v>
      </c>
      <c r="P144" s="74">
        <f t="shared" si="236"/>
        <v>12514.21</v>
      </c>
      <c r="Q144" s="74">
        <f t="shared" si="140"/>
        <v>0</v>
      </c>
      <c r="R144" s="74">
        <f t="shared" si="141"/>
        <v>88.491769397651098</v>
      </c>
      <c r="S144" s="70">
        <f t="shared" si="142"/>
        <v>11.508258190805998</v>
      </c>
      <c r="T144" s="34">
        <f t="shared" si="232"/>
        <v>96226.920000000013</v>
      </c>
      <c r="Y144" s="237">
        <f t="shared" si="225"/>
        <v>0.88491769397651099</v>
      </c>
    </row>
    <row r="145" spans="1:25" customFormat="1" ht="25.5" x14ac:dyDescent="0.2">
      <c r="A145" s="345" t="s">
        <v>362</v>
      </c>
      <c r="B145" s="348" t="s">
        <v>363</v>
      </c>
      <c r="C145" s="345" t="s">
        <v>364</v>
      </c>
      <c r="D145" s="40" t="s">
        <v>77</v>
      </c>
      <c r="E145" s="363">
        <v>11832.55</v>
      </c>
      <c r="F145" s="103">
        <v>10470.832200000001</v>
      </c>
      <c r="G145" s="103"/>
      <c r="H145" s="103">
        <f t="shared" ref="H145" si="237">F145+G145</f>
        <v>10470.832200000001</v>
      </c>
      <c r="I145" s="368">
        <f t="shared" ref="I145" si="238">ROUND(E145-H145,2)</f>
        <v>1361.72</v>
      </c>
      <c r="J145" s="368">
        <v>7.53</v>
      </c>
      <c r="K145" s="41">
        <f>TRUNC(J145*1.2211,2)</f>
        <v>9.19</v>
      </c>
      <c r="L145" s="41">
        <f>TRUNC(E145*K145,2)</f>
        <v>108741.13</v>
      </c>
      <c r="M145" s="71">
        <f t="shared" ref="M145" si="239">ROUND(F145*$K145,2)</f>
        <v>96226.95</v>
      </c>
      <c r="N145" s="71">
        <f t="shared" ref="N145" si="240">ROUND(G145*$K145,2)</f>
        <v>0</v>
      </c>
      <c r="O145" s="71">
        <f t="shared" ref="O145" si="241">ROUND(H145*$K145,2)</f>
        <v>96226.95</v>
      </c>
      <c r="P145" s="71">
        <f t="shared" ref="P145" si="242">ROUND(I145*$K145,2)</f>
        <v>12514.21</v>
      </c>
      <c r="Q145" s="71">
        <f t="shared" si="140"/>
        <v>0</v>
      </c>
      <c r="R145" s="71">
        <f t="shared" si="141"/>
        <v>88.491769397651098</v>
      </c>
      <c r="S145" s="39">
        <f t="shared" si="142"/>
        <v>11.508258190805998</v>
      </c>
      <c r="T145" s="34">
        <f t="shared" si="232"/>
        <v>96226.920000000013</v>
      </c>
      <c r="Y145" s="237">
        <f t="shared" si="225"/>
        <v>0.88491769397651099</v>
      </c>
    </row>
    <row r="146" spans="1:25" customFormat="1" ht="12.75" x14ac:dyDescent="0.2">
      <c r="A146" s="47" t="s">
        <v>365</v>
      </c>
      <c r="B146" s="48"/>
      <c r="C146" s="47" t="s">
        <v>366</v>
      </c>
      <c r="D146" s="49"/>
      <c r="E146" s="364" t="s">
        <v>46</v>
      </c>
      <c r="F146" s="365"/>
      <c r="G146" s="365"/>
      <c r="H146" s="365"/>
      <c r="I146" s="365"/>
      <c r="J146" s="50" t="s">
        <v>46</v>
      </c>
      <c r="K146" s="51"/>
      <c r="L146" s="73">
        <f>L147+L149+L151+L153</f>
        <v>1768888.52</v>
      </c>
      <c r="M146" s="73">
        <f t="shared" ref="M146:P146" si="243">M147+M149+M151+M153</f>
        <v>858128.09</v>
      </c>
      <c r="N146" s="73">
        <f t="shared" si="243"/>
        <v>536865</v>
      </c>
      <c r="O146" s="73">
        <f t="shared" si="243"/>
        <v>1394993.09</v>
      </c>
      <c r="P146" s="73">
        <f t="shared" si="243"/>
        <v>373895.42999999993</v>
      </c>
      <c r="Q146" s="73">
        <f t="shared" si="140"/>
        <v>30.350414620815108</v>
      </c>
      <c r="R146" s="73">
        <f t="shared" si="141"/>
        <v>78.86269113216926</v>
      </c>
      <c r="S146" s="53">
        <f t="shared" si="142"/>
        <v>21.13730886783074</v>
      </c>
      <c r="T146" s="34">
        <f t="shared" si="232"/>
        <v>1394993.09</v>
      </c>
      <c r="Y146" s="237">
        <f t="shared" si="225"/>
        <v>0.7886269113216926</v>
      </c>
    </row>
    <row r="147" spans="1:25" customFormat="1" ht="12.75" x14ac:dyDescent="0.2">
      <c r="A147" s="65" t="s">
        <v>367</v>
      </c>
      <c r="B147" s="66"/>
      <c r="C147" s="65" t="s">
        <v>368</v>
      </c>
      <c r="D147" s="67"/>
      <c r="E147" s="369" t="s">
        <v>46</v>
      </c>
      <c r="F147" s="370"/>
      <c r="G147" s="370"/>
      <c r="H147" s="370"/>
      <c r="I147" s="370"/>
      <c r="J147" s="372" t="s">
        <v>46</v>
      </c>
      <c r="K147" s="68"/>
      <c r="L147" s="74">
        <f>L148</f>
        <v>24304.959999999999</v>
      </c>
      <c r="M147" s="74">
        <f t="shared" ref="M147:P147" si="244">M148</f>
        <v>22743.87</v>
      </c>
      <c r="N147" s="74">
        <f t="shared" si="244"/>
        <v>0</v>
      </c>
      <c r="O147" s="74">
        <f t="shared" si="244"/>
        <v>22743.87</v>
      </c>
      <c r="P147" s="74">
        <f t="shared" si="244"/>
        <v>1561.09</v>
      </c>
      <c r="Q147" s="74">
        <f t="shared" si="140"/>
        <v>0</v>
      </c>
      <c r="R147" s="74">
        <f t="shared" si="141"/>
        <v>93.577072334206676</v>
      </c>
      <c r="S147" s="70">
        <f t="shared" si="142"/>
        <v>6.4229276657933196</v>
      </c>
      <c r="T147" s="34">
        <f t="shared" si="232"/>
        <v>22743.87</v>
      </c>
      <c r="Y147" s="237">
        <f t="shared" si="225"/>
        <v>0.93577072334206679</v>
      </c>
    </row>
    <row r="148" spans="1:25" customFormat="1" ht="25.5" x14ac:dyDescent="0.2">
      <c r="A148" s="345" t="s">
        <v>369</v>
      </c>
      <c r="B148" s="348" t="s">
        <v>370</v>
      </c>
      <c r="C148" s="345" t="s">
        <v>549</v>
      </c>
      <c r="D148" s="40" t="s">
        <v>43</v>
      </c>
      <c r="E148" s="363">
        <v>60762.400000000001</v>
      </c>
      <c r="F148" s="103">
        <v>56859.671999999999</v>
      </c>
      <c r="G148" s="103"/>
      <c r="H148" s="103">
        <f t="shared" ref="H148" si="245">F148+G148</f>
        <v>56859.671999999999</v>
      </c>
      <c r="I148" s="368">
        <f t="shared" ref="I148" si="246">ROUND(E148-H148,2)</f>
        <v>3902.73</v>
      </c>
      <c r="J148" s="368">
        <v>0.33</v>
      </c>
      <c r="K148" s="41">
        <f>TRUNC(J148*1.2211,2)</f>
        <v>0.4</v>
      </c>
      <c r="L148" s="41">
        <f>TRUNC(E148*K148,2)</f>
        <v>24304.959999999999</v>
      </c>
      <c r="M148" s="71">
        <f t="shared" ref="M148" si="247">ROUND(F148*$K148,2)</f>
        <v>22743.87</v>
      </c>
      <c r="N148" s="71">
        <f t="shared" ref="N148" si="248">ROUND(G148*$K148,2)</f>
        <v>0</v>
      </c>
      <c r="O148" s="71">
        <f t="shared" ref="O148" si="249">ROUND(H148*$K148,2)</f>
        <v>22743.87</v>
      </c>
      <c r="P148" s="71">
        <f t="shared" ref="P148" si="250">ROUND(I148*$K148,2)</f>
        <v>1561.09</v>
      </c>
      <c r="Q148" s="71">
        <f t="shared" si="140"/>
        <v>0</v>
      </c>
      <c r="R148" s="71">
        <f t="shared" si="141"/>
        <v>93.577072334206676</v>
      </c>
      <c r="S148" s="39">
        <f t="shared" si="142"/>
        <v>6.4229276657933196</v>
      </c>
      <c r="T148" s="34">
        <f t="shared" si="232"/>
        <v>22743.87</v>
      </c>
      <c r="Y148" s="237">
        <f t="shared" si="225"/>
        <v>0.93577072334206679</v>
      </c>
    </row>
    <row r="149" spans="1:25" customFormat="1" ht="12.75" x14ac:dyDescent="0.2">
      <c r="A149" s="65" t="s">
        <v>372</v>
      </c>
      <c r="B149" s="66"/>
      <c r="C149" s="65" t="s">
        <v>373</v>
      </c>
      <c r="D149" s="67"/>
      <c r="E149" s="369" t="s">
        <v>46</v>
      </c>
      <c r="F149" s="370"/>
      <c r="G149" s="370"/>
      <c r="H149" s="370"/>
      <c r="I149" s="370"/>
      <c r="J149" s="372" t="s">
        <v>46</v>
      </c>
      <c r="K149" s="68"/>
      <c r="L149" s="74">
        <f>L150</f>
        <v>16372.97</v>
      </c>
      <c r="M149" s="74">
        <f t="shared" ref="M149:P149" si="251">M150</f>
        <v>0</v>
      </c>
      <c r="N149" s="74">
        <f t="shared" si="251"/>
        <v>9744</v>
      </c>
      <c r="O149" s="74">
        <f t="shared" si="251"/>
        <v>9744</v>
      </c>
      <c r="P149" s="74">
        <f t="shared" si="251"/>
        <v>6628.97</v>
      </c>
      <c r="Q149" s="74">
        <f t="shared" si="140"/>
        <v>59.51272127170575</v>
      </c>
      <c r="R149" s="74">
        <f t="shared" si="141"/>
        <v>59.51272127170575</v>
      </c>
      <c r="S149" s="70">
        <f t="shared" si="142"/>
        <v>40.487278728294257</v>
      </c>
      <c r="T149" s="34">
        <f t="shared" si="232"/>
        <v>9744</v>
      </c>
      <c r="Y149" s="237">
        <f t="shared" si="225"/>
        <v>0.59512721271705749</v>
      </c>
    </row>
    <row r="150" spans="1:25" customFormat="1" ht="12.75" x14ac:dyDescent="0.2">
      <c r="A150" s="345" t="s">
        <v>374</v>
      </c>
      <c r="B150" s="348" t="s">
        <v>375</v>
      </c>
      <c r="C150" s="345" t="s">
        <v>376</v>
      </c>
      <c r="D150" s="40" t="s">
        <v>43</v>
      </c>
      <c r="E150" s="363">
        <v>56458.52</v>
      </c>
      <c r="F150" s="103">
        <v>0</v>
      </c>
      <c r="G150" s="103">
        <f>'PAVIMENTAÇÃO  - BM 15 CT'!J40</f>
        <v>33600</v>
      </c>
      <c r="H150" s="103">
        <f t="shared" ref="H150" si="252">F150+G150</f>
        <v>33600</v>
      </c>
      <c r="I150" s="368">
        <f t="shared" ref="I150" si="253">ROUND(E150-H150,2)</f>
        <v>22858.52</v>
      </c>
      <c r="J150" s="368">
        <v>0.24</v>
      </c>
      <c r="K150" s="41">
        <f>TRUNC(J150*1.2211,2)</f>
        <v>0.28999999999999998</v>
      </c>
      <c r="L150" s="41">
        <f>TRUNC(E150*K150,2)</f>
        <v>16372.97</v>
      </c>
      <c r="M150" s="71">
        <f t="shared" ref="M150" si="254">ROUND(F150*$K150,2)</f>
        <v>0</v>
      </c>
      <c r="N150" s="71">
        <f t="shared" ref="N150" si="255">ROUND(G150*$K150,2)</f>
        <v>9744</v>
      </c>
      <c r="O150" s="71">
        <f t="shared" ref="O150" si="256">ROUND(H150*$K150,2)</f>
        <v>9744</v>
      </c>
      <c r="P150" s="71">
        <f t="shared" ref="P150" si="257">ROUND(I150*$K150,2)</f>
        <v>6628.97</v>
      </c>
      <c r="Q150" s="71">
        <f t="shared" si="140"/>
        <v>59.51272127170575</v>
      </c>
      <c r="R150" s="71">
        <f t="shared" si="141"/>
        <v>59.51272127170575</v>
      </c>
      <c r="S150" s="39">
        <f t="shared" si="142"/>
        <v>40.487278728294257</v>
      </c>
      <c r="T150" s="34">
        <f t="shared" si="232"/>
        <v>9744</v>
      </c>
      <c r="Y150" s="237">
        <f t="shared" si="225"/>
        <v>0.59512721271705749</v>
      </c>
    </row>
    <row r="151" spans="1:25" customFormat="1" ht="12.75" x14ac:dyDescent="0.2">
      <c r="A151" s="65" t="s">
        <v>377</v>
      </c>
      <c r="B151" s="66"/>
      <c r="C151" s="65" t="s">
        <v>378</v>
      </c>
      <c r="D151" s="67"/>
      <c r="E151" s="369" t="s">
        <v>46</v>
      </c>
      <c r="F151" s="370"/>
      <c r="G151" s="370"/>
      <c r="H151" s="370"/>
      <c r="I151" s="370"/>
      <c r="J151" s="372" t="s">
        <v>46</v>
      </c>
      <c r="K151" s="68"/>
      <c r="L151" s="74">
        <f>L152</f>
        <v>1516673.45</v>
      </c>
      <c r="M151" s="74">
        <f t="shared" ref="M151:P151" si="258">M152</f>
        <v>714100.73</v>
      </c>
      <c r="N151" s="74">
        <f t="shared" si="258"/>
        <v>451306.8</v>
      </c>
      <c r="O151" s="74">
        <f t="shared" si="258"/>
        <v>1165407.53</v>
      </c>
      <c r="P151" s="74">
        <f t="shared" si="258"/>
        <v>351265.91999999993</v>
      </c>
      <c r="Q151" s="74">
        <f t="shared" ref="Q151:Q207" si="259">N151/L151*100</f>
        <v>29.75635922155821</v>
      </c>
      <c r="R151" s="74">
        <f t="shared" ref="R151:R207" si="260">O151/L151*100</f>
        <v>76.839713255348414</v>
      </c>
      <c r="S151" s="70">
        <f t="shared" ref="S151:S207" si="261">P151/L151*100</f>
        <v>23.160286744651589</v>
      </c>
      <c r="T151" s="34">
        <f t="shared" si="232"/>
        <v>1165407.53</v>
      </c>
      <c r="Y151" s="237">
        <f t="shared" si="225"/>
        <v>0.76839713255348407</v>
      </c>
    </row>
    <row r="152" spans="1:25" customFormat="1" ht="25.5" x14ac:dyDescent="0.2">
      <c r="A152" s="345" t="s">
        <v>379</v>
      </c>
      <c r="B152" s="348" t="s">
        <v>380</v>
      </c>
      <c r="C152" s="345" t="s">
        <v>381</v>
      </c>
      <c r="D152" s="40" t="s">
        <v>77</v>
      </c>
      <c r="E152" s="363">
        <v>2822.9259999999999</v>
      </c>
      <c r="F152" s="103">
        <v>1329.12825</v>
      </c>
      <c r="G152" s="103">
        <f>'PAVIMENTAÇÃO  - BM 15 CT'!K46</f>
        <v>840</v>
      </c>
      <c r="H152" s="103">
        <f t="shared" ref="H152" si="262">F152+G152</f>
        <v>2169.1282499999998</v>
      </c>
      <c r="I152" s="368">
        <f t="shared" ref="I152" si="263">ROUND(E152-H152,2)</f>
        <v>653.79999999999995</v>
      </c>
      <c r="J152" s="368">
        <v>439.99</v>
      </c>
      <c r="K152" s="41">
        <f>TRUNC(J152*1.2211,2)</f>
        <v>537.27</v>
      </c>
      <c r="L152" s="41">
        <f>TRUNC(E152*K152,2)</f>
        <v>1516673.45</v>
      </c>
      <c r="M152" s="71">
        <f t="shared" ref="M152" si="264">ROUND(F152*$K152,2)</f>
        <v>714100.73</v>
      </c>
      <c r="N152" s="71">
        <f t="shared" ref="N152" si="265">ROUND(G152*$K152,2)</f>
        <v>451306.8</v>
      </c>
      <c r="O152" s="71">
        <f t="shared" ref="O152" si="266">ROUND(H152*$K152,2)</f>
        <v>1165407.53</v>
      </c>
      <c r="P152" s="71">
        <f>L152-O152</f>
        <v>351265.91999999993</v>
      </c>
      <c r="Q152" s="71">
        <f t="shared" si="259"/>
        <v>29.75635922155821</v>
      </c>
      <c r="R152" s="71">
        <f t="shared" si="260"/>
        <v>76.839713255348414</v>
      </c>
      <c r="S152" s="39">
        <f t="shared" si="261"/>
        <v>23.160286744651589</v>
      </c>
      <c r="T152" s="34">
        <f t="shared" si="232"/>
        <v>1165407.53</v>
      </c>
      <c r="Y152" s="237">
        <f t="shared" si="225"/>
        <v>0.76839713255348407</v>
      </c>
    </row>
    <row r="153" spans="1:25" customFormat="1" ht="12.75" x14ac:dyDescent="0.2">
      <c r="A153" s="65" t="s">
        <v>382</v>
      </c>
      <c r="B153" s="66"/>
      <c r="C153" s="65" t="s">
        <v>383</v>
      </c>
      <c r="D153" s="67"/>
      <c r="E153" s="369" t="s">
        <v>46</v>
      </c>
      <c r="F153" s="370"/>
      <c r="G153" s="370"/>
      <c r="H153" s="370"/>
      <c r="I153" s="370"/>
      <c r="J153" s="372" t="s">
        <v>46</v>
      </c>
      <c r="K153" s="68"/>
      <c r="L153" s="74">
        <f>SUM(L154:L155)</f>
        <v>211537.14</v>
      </c>
      <c r="M153" s="74">
        <f t="shared" ref="M153:P153" si="267">SUM(M154:M155)</f>
        <v>121283.48999999999</v>
      </c>
      <c r="N153" s="74">
        <f t="shared" si="267"/>
        <v>75814.2</v>
      </c>
      <c r="O153" s="74">
        <f t="shared" si="267"/>
        <v>197097.69</v>
      </c>
      <c r="P153" s="74">
        <f t="shared" si="267"/>
        <v>14439.450000000012</v>
      </c>
      <c r="Q153" s="74">
        <f t="shared" si="259"/>
        <v>35.839663900154832</v>
      </c>
      <c r="R153" s="74">
        <f t="shared" si="260"/>
        <v>93.174035538156545</v>
      </c>
      <c r="S153" s="70">
        <f t="shared" si="261"/>
        <v>6.8259644618434434</v>
      </c>
      <c r="T153" s="34">
        <f t="shared" si="232"/>
        <v>197097.69</v>
      </c>
      <c r="Y153" s="237">
        <f t="shared" si="225"/>
        <v>0.93174035538156552</v>
      </c>
    </row>
    <row r="154" spans="1:25" customFormat="1" ht="25.5" x14ac:dyDescent="0.2">
      <c r="A154" s="345" t="s">
        <v>384</v>
      </c>
      <c r="B154" s="348" t="s">
        <v>385</v>
      </c>
      <c r="C154" s="345" t="s">
        <v>386</v>
      </c>
      <c r="D154" s="40" t="s">
        <v>77</v>
      </c>
      <c r="E154" s="363">
        <v>3528.66</v>
      </c>
      <c r="F154" s="103">
        <v>1661.4103124999999</v>
      </c>
      <c r="G154" s="103">
        <f>G152*1.25</f>
        <v>1050</v>
      </c>
      <c r="H154" s="103">
        <f>H152*1.25</f>
        <v>2711.4103124999997</v>
      </c>
      <c r="I154" s="368">
        <f t="shared" ref="I154" si="268">ROUND(E154-H154,2)</f>
        <v>817.25</v>
      </c>
      <c r="J154" s="368">
        <v>6.34</v>
      </c>
      <c r="K154" s="41">
        <f t="shared" ref="K154:K155" si="269">TRUNC(J154*1.2211,2)</f>
        <v>7.74</v>
      </c>
      <c r="L154" s="41">
        <f t="shared" ref="L154:L155" si="270">TRUNC(E154*K154,2)</f>
        <v>27311.82</v>
      </c>
      <c r="M154" s="71">
        <f t="shared" ref="M154" si="271">ROUND(F154*$K154,2)</f>
        <v>12859.32</v>
      </c>
      <c r="N154" s="71">
        <f t="shared" ref="N154" si="272">ROUND(G154*$K154,2)</f>
        <v>8127</v>
      </c>
      <c r="O154" s="71">
        <f t="shared" ref="O154" si="273">ROUND(H154*$K154,2)</f>
        <v>20986.32</v>
      </c>
      <c r="P154" s="71">
        <f>L154-O154</f>
        <v>6325.5</v>
      </c>
      <c r="Q154" s="71">
        <f t="shared" si="259"/>
        <v>29.756347251849203</v>
      </c>
      <c r="R154" s="71">
        <f t="shared" si="260"/>
        <v>76.839697976919879</v>
      </c>
      <c r="S154" s="39">
        <f t="shared" si="261"/>
        <v>23.160302023080117</v>
      </c>
      <c r="T154" s="34">
        <f t="shared" si="232"/>
        <v>20986.32</v>
      </c>
      <c r="Y154" s="237">
        <f t="shared" si="225"/>
        <v>0.76839697976919885</v>
      </c>
    </row>
    <row r="155" spans="1:25" customFormat="1" ht="25.5" x14ac:dyDescent="0.2">
      <c r="A155" s="345" t="s">
        <v>387</v>
      </c>
      <c r="B155" s="38">
        <v>914612</v>
      </c>
      <c r="C155" s="345" t="s">
        <v>388</v>
      </c>
      <c r="D155" s="40" t="s">
        <v>85</v>
      </c>
      <c r="E155" s="363">
        <v>116598.31</v>
      </c>
      <c r="F155" s="103">
        <v>68622.891547499996</v>
      </c>
      <c r="G155" s="103">
        <f>G154*2.4*17</f>
        <v>42840</v>
      </c>
      <c r="H155" s="103">
        <f t="shared" ref="H155" si="274">F155+G155</f>
        <v>111462.8915475</v>
      </c>
      <c r="I155" s="368">
        <f t="shared" ref="I155" si="275">ROUND(E155-H155,2)</f>
        <v>5135.42</v>
      </c>
      <c r="J155" s="368">
        <v>1.3</v>
      </c>
      <c r="K155" s="41">
        <f t="shared" si="269"/>
        <v>1.58</v>
      </c>
      <c r="L155" s="41">
        <f t="shared" si="270"/>
        <v>184225.32</v>
      </c>
      <c r="M155" s="71">
        <f t="shared" ref="M155" si="276">ROUND(F155*$K155,2)</f>
        <v>108424.17</v>
      </c>
      <c r="N155" s="71">
        <f t="shared" ref="N155" si="277">ROUND(G155*$K155,2)</f>
        <v>67687.199999999997</v>
      </c>
      <c r="O155" s="71">
        <f t="shared" ref="O155" si="278">ROUND(H155*$K155,2)</f>
        <v>176111.37</v>
      </c>
      <c r="P155" s="71">
        <f>L155-O155</f>
        <v>8113.9500000000116</v>
      </c>
      <c r="Q155" s="71">
        <f t="shared" si="259"/>
        <v>36.741529340266574</v>
      </c>
      <c r="R155" s="71">
        <f t="shared" si="260"/>
        <v>95.595637993735068</v>
      </c>
      <c r="S155" s="39">
        <f t="shared" si="261"/>
        <v>4.4043620062649431</v>
      </c>
      <c r="T155" s="34">
        <f t="shared" si="232"/>
        <v>176111.37</v>
      </c>
      <c r="Y155" s="237">
        <f t="shared" si="225"/>
        <v>0.95595637993735061</v>
      </c>
    </row>
    <row r="156" spans="1:25" customFormat="1" ht="12.75" x14ac:dyDescent="0.2">
      <c r="A156" s="47" t="s">
        <v>389</v>
      </c>
      <c r="B156" s="48"/>
      <c r="C156" s="63"/>
      <c r="D156" s="49"/>
      <c r="E156" s="364" t="s">
        <v>46</v>
      </c>
      <c r="F156" s="365"/>
      <c r="G156" s="365"/>
      <c r="H156" s="365"/>
      <c r="I156" s="365"/>
      <c r="J156" s="50" t="s">
        <v>46</v>
      </c>
      <c r="K156" s="51"/>
      <c r="L156" s="52">
        <f>SUM(L157:L158)</f>
        <v>399085.83</v>
      </c>
      <c r="M156" s="73">
        <f t="shared" ref="M156:P156" si="279">SUM(M157:M158)</f>
        <v>330165.71000000002</v>
      </c>
      <c r="N156" s="73">
        <f t="shared" si="279"/>
        <v>42087.76</v>
      </c>
      <c r="O156" s="73">
        <f t="shared" si="279"/>
        <v>372253.47</v>
      </c>
      <c r="P156" s="73">
        <f t="shared" si="279"/>
        <v>26832.080000000002</v>
      </c>
      <c r="Q156" s="73">
        <f t="shared" si="259"/>
        <v>10.546042188468581</v>
      </c>
      <c r="R156" s="73">
        <f t="shared" si="260"/>
        <v>93.276544045675578</v>
      </c>
      <c r="S156" s="53">
        <f t="shared" si="261"/>
        <v>6.7233857939782027</v>
      </c>
      <c r="T156" s="34">
        <f t="shared" si="232"/>
        <v>372253.75</v>
      </c>
      <c r="Y156" s="237">
        <f t="shared" si="225"/>
        <v>0.9327654404567558</v>
      </c>
    </row>
    <row r="157" spans="1:25" customFormat="1" ht="25.5" x14ac:dyDescent="0.2">
      <c r="A157" s="345" t="s">
        <v>390</v>
      </c>
      <c r="B157" s="38" t="s">
        <v>391</v>
      </c>
      <c r="C157" s="345" t="s">
        <v>392</v>
      </c>
      <c r="D157" s="40" t="s">
        <v>43</v>
      </c>
      <c r="E157" s="363">
        <v>3567</v>
      </c>
      <c r="F157" s="103">
        <v>2906.3269999999998</v>
      </c>
      <c r="G157" s="103">
        <f>'PAVIMENTAÇÃO  - BM 15 CT'!Q23</f>
        <v>406</v>
      </c>
      <c r="H157" s="103">
        <f t="shared" ref="H157" si="280">F157+G157</f>
        <v>3312.3269999999998</v>
      </c>
      <c r="I157" s="368">
        <f t="shared" ref="I157" si="281">ROUND(E157-H157,2)</f>
        <v>254.67</v>
      </c>
      <c r="J157" s="368">
        <v>78.430000000000007</v>
      </c>
      <c r="K157" s="41">
        <f t="shared" ref="K157:K158" si="282">TRUNC(J157*1.2211,2)</f>
        <v>95.77</v>
      </c>
      <c r="L157" s="41">
        <f t="shared" ref="L157:L158" si="283">TRUNC(E157*K157,2)</f>
        <v>341611.59</v>
      </c>
      <c r="M157" s="71">
        <f t="shared" ref="M157" si="284">ROUND(F157*$K157,2)</f>
        <v>278338.94</v>
      </c>
      <c r="N157" s="71">
        <f t="shared" ref="N157" si="285">ROUND(G157*$K157,2)</f>
        <v>38882.620000000003</v>
      </c>
      <c r="O157" s="71">
        <f t="shared" ref="O157" si="286">ROUND(H157*$K157,2)</f>
        <v>317221.56</v>
      </c>
      <c r="P157" s="71">
        <f t="shared" ref="P157" si="287">ROUND(I157*$K157,2)</f>
        <v>24389.75</v>
      </c>
      <c r="Q157" s="71">
        <f t="shared" si="259"/>
        <v>11.38211382113821</v>
      </c>
      <c r="R157" s="71">
        <f t="shared" si="260"/>
        <v>92.860303715105204</v>
      </c>
      <c r="S157" s="39">
        <f t="shared" si="261"/>
        <v>7.1396143204626048</v>
      </c>
      <c r="T157" s="34">
        <f t="shared" si="232"/>
        <v>317221.84000000003</v>
      </c>
      <c r="Y157" s="237">
        <f t="shared" si="225"/>
        <v>0.92860303715105208</v>
      </c>
    </row>
    <row r="158" spans="1:25" customFormat="1" ht="12.75" x14ac:dyDescent="0.2">
      <c r="A158" s="345" t="s">
        <v>393</v>
      </c>
      <c r="B158" s="348" t="s">
        <v>394</v>
      </c>
      <c r="C158" s="345" t="s">
        <v>395</v>
      </c>
      <c r="D158" s="40" t="s">
        <v>57</v>
      </c>
      <c r="E158" s="363">
        <v>1311</v>
      </c>
      <c r="F158" s="103">
        <v>1182.1799999999998</v>
      </c>
      <c r="G158" s="103">
        <f>'PAVIMENTAÇÃO  - BM 15 CT'!Q57</f>
        <v>73.109999999999673</v>
      </c>
      <c r="H158" s="103">
        <f t="shared" ref="H158" si="288">F158+G158</f>
        <v>1255.2899999999995</v>
      </c>
      <c r="I158" s="368">
        <f t="shared" ref="I158" si="289">ROUND(E158-H158,2)</f>
        <v>55.71</v>
      </c>
      <c r="J158" s="368">
        <v>35.909999999999997</v>
      </c>
      <c r="K158" s="41">
        <f t="shared" si="282"/>
        <v>43.84</v>
      </c>
      <c r="L158" s="41">
        <f t="shared" si="283"/>
        <v>57474.239999999998</v>
      </c>
      <c r="M158" s="71">
        <f t="shared" ref="M158" si="290">ROUND(F158*$K158,2)</f>
        <v>51826.77</v>
      </c>
      <c r="N158" s="71">
        <f t="shared" ref="N158" si="291">ROUND(G158*$K158,2)</f>
        <v>3205.14</v>
      </c>
      <c r="O158" s="71">
        <f t="shared" ref="O158" si="292">ROUND(H158*$K158,2)</f>
        <v>55031.91</v>
      </c>
      <c r="P158" s="71">
        <f t="shared" ref="P158" si="293">ROUND(I158*$K158,2)</f>
        <v>2442.33</v>
      </c>
      <c r="Q158" s="71">
        <f t="shared" si="259"/>
        <v>5.576654863117807</v>
      </c>
      <c r="R158" s="71">
        <f t="shared" si="260"/>
        <v>95.750565818704175</v>
      </c>
      <c r="S158" s="39">
        <f t="shared" si="261"/>
        <v>4.2494341812958298</v>
      </c>
      <c r="T158" s="34">
        <f t="shared" si="232"/>
        <v>55031.909999999996</v>
      </c>
      <c r="Y158" s="237">
        <f t="shared" si="225"/>
        <v>0.95750565818704181</v>
      </c>
    </row>
    <row r="159" spans="1:25" customFormat="1" ht="12.75" x14ac:dyDescent="0.2">
      <c r="A159" s="54" t="s">
        <v>396</v>
      </c>
      <c r="B159" s="55"/>
      <c r="C159" s="54" t="s">
        <v>397</v>
      </c>
      <c r="D159" s="56"/>
      <c r="E159" s="366" t="s">
        <v>46</v>
      </c>
      <c r="F159" s="367"/>
      <c r="G159" s="367"/>
      <c r="H159" s="367"/>
      <c r="I159" s="367"/>
      <c r="J159" s="57" t="s">
        <v>46</v>
      </c>
      <c r="K159" s="58"/>
      <c r="L159" s="72">
        <f>L160+L168</f>
        <v>541342.48</v>
      </c>
      <c r="M159" s="72">
        <f t="shared" ref="M159:P159" si="294">M160+M168</f>
        <v>0</v>
      </c>
      <c r="N159" s="72">
        <f t="shared" si="294"/>
        <v>0</v>
      </c>
      <c r="O159" s="72">
        <f t="shared" si="294"/>
        <v>0</v>
      </c>
      <c r="P159" s="72">
        <f t="shared" si="294"/>
        <v>541342.48</v>
      </c>
      <c r="Q159" s="72">
        <f t="shared" si="259"/>
        <v>0</v>
      </c>
      <c r="R159" s="72">
        <f t="shared" si="260"/>
        <v>0</v>
      </c>
      <c r="S159" s="60">
        <f t="shared" si="261"/>
        <v>100</v>
      </c>
      <c r="T159" s="34">
        <f t="shared" si="232"/>
        <v>0</v>
      </c>
      <c r="Y159" s="237">
        <f t="shared" si="225"/>
        <v>0</v>
      </c>
    </row>
    <row r="160" spans="1:25" customFormat="1" ht="12.75" x14ac:dyDescent="0.2">
      <c r="A160" s="47" t="s">
        <v>398</v>
      </c>
      <c r="B160" s="48"/>
      <c r="C160" s="47" t="s">
        <v>399</v>
      </c>
      <c r="D160" s="49"/>
      <c r="E160" s="364" t="s">
        <v>46</v>
      </c>
      <c r="F160" s="365"/>
      <c r="G160" s="365"/>
      <c r="H160" s="365"/>
      <c r="I160" s="365"/>
      <c r="J160" s="50" t="s">
        <v>46</v>
      </c>
      <c r="K160" s="51"/>
      <c r="L160" s="73">
        <f>SUM(L161:L167)</f>
        <v>200598.35</v>
      </c>
      <c r="M160" s="73">
        <f t="shared" ref="M160:P160" si="295">SUM(M161:M167)</f>
        <v>0</v>
      </c>
      <c r="N160" s="73">
        <f t="shared" si="295"/>
        <v>0</v>
      </c>
      <c r="O160" s="73">
        <f t="shared" si="295"/>
        <v>0</v>
      </c>
      <c r="P160" s="73">
        <f t="shared" si="295"/>
        <v>200598.35</v>
      </c>
      <c r="Q160" s="73">
        <f t="shared" si="259"/>
        <v>0</v>
      </c>
      <c r="R160" s="73">
        <f t="shared" si="260"/>
        <v>0</v>
      </c>
      <c r="S160" s="53">
        <f t="shared" si="261"/>
        <v>100</v>
      </c>
      <c r="T160" s="34">
        <f t="shared" si="232"/>
        <v>0</v>
      </c>
      <c r="Y160" s="237">
        <f t="shared" si="225"/>
        <v>0</v>
      </c>
    </row>
    <row r="161" spans="1:25" customFormat="1" ht="25.5" x14ac:dyDescent="0.2">
      <c r="A161" s="345" t="s">
        <v>400</v>
      </c>
      <c r="B161" s="38">
        <v>5213446</v>
      </c>
      <c r="C161" s="345" t="s">
        <v>401</v>
      </c>
      <c r="D161" s="40" t="s">
        <v>216</v>
      </c>
      <c r="E161" s="363">
        <v>3</v>
      </c>
      <c r="F161" s="103">
        <v>0</v>
      </c>
      <c r="G161" s="103"/>
      <c r="H161" s="103">
        <f t="shared" ref="H161" si="296">F161+G161</f>
        <v>0</v>
      </c>
      <c r="I161" s="368">
        <f t="shared" ref="I161" si="297">ROUND(E161-H161,2)</f>
        <v>3</v>
      </c>
      <c r="J161" s="368">
        <v>517.9</v>
      </c>
      <c r="K161" s="41">
        <f t="shared" ref="K161:K167" si="298">TRUNC(J161*1.2211,2)</f>
        <v>632.4</v>
      </c>
      <c r="L161" s="41">
        <f t="shared" ref="L161:L167" si="299">TRUNC(E161*K161,2)</f>
        <v>1897.2</v>
      </c>
      <c r="M161" s="71">
        <f t="shared" ref="M161" si="300">ROUND(F161*$K161,2)</f>
        <v>0</v>
      </c>
      <c r="N161" s="71">
        <f t="shared" ref="N161" si="301">ROUND(G161*$K161,2)</f>
        <v>0</v>
      </c>
      <c r="O161" s="71">
        <f t="shared" ref="O161" si="302">ROUND(H161*$K161,2)</f>
        <v>0</v>
      </c>
      <c r="P161" s="71">
        <f t="shared" ref="P161" si="303">ROUND(I161*$K161,2)</f>
        <v>1897.2</v>
      </c>
      <c r="Q161" s="71">
        <f t="shared" si="259"/>
        <v>0</v>
      </c>
      <c r="R161" s="71">
        <f t="shared" si="260"/>
        <v>0</v>
      </c>
      <c r="S161" s="39">
        <f t="shared" si="261"/>
        <v>100</v>
      </c>
      <c r="T161" s="34">
        <f t="shared" si="232"/>
        <v>0</v>
      </c>
      <c r="Y161" s="237">
        <f t="shared" si="225"/>
        <v>0</v>
      </c>
    </row>
    <row r="162" spans="1:25" customFormat="1" ht="25.5" x14ac:dyDescent="0.2">
      <c r="A162" s="345" t="s">
        <v>402</v>
      </c>
      <c r="B162" s="38">
        <v>5213450</v>
      </c>
      <c r="C162" s="345" t="s">
        <v>403</v>
      </c>
      <c r="D162" s="40" t="s">
        <v>216</v>
      </c>
      <c r="E162" s="363">
        <v>5</v>
      </c>
      <c r="F162" s="103">
        <v>0</v>
      </c>
      <c r="G162" s="103"/>
      <c r="H162" s="103">
        <f t="shared" ref="H162:H167" si="304">F162+G162</f>
        <v>0</v>
      </c>
      <c r="I162" s="368">
        <f t="shared" ref="I162:I167" si="305">ROUND(E162-H162,2)</f>
        <v>5</v>
      </c>
      <c r="J162" s="368">
        <v>330.35</v>
      </c>
      <c r="K162" s="41">
        <f t="shared" si="298"/>
        <v>403.39</v>
      </c>
      <c r="L162" s="41">
        <f t="shared" si="299"/>
        <v>2016.95</v>
      </c>
      <c r="M162" s="71">
        <f t="shared" ref="M162:M167" si="306">ROUND(F162*$K162,2)</f>
        <v>0</v>
      </c>
      <c r="N162" s="71">
        <f t="shared" ref="N162:N167" si="307">ROUND(G162*$K162,2)</f>
        <v>0</v>
      </c>
      <c r="O162" s="71">
        <f t="shared" ref="O162:O167" si="308">ROUND(H162*$K162,2)</f>
        <v>0</v>
      </c>
      <c r="P162" s="71">
        <f t="shared" ref="P162:P167" si="309">ROUND(I162*$K162,2)</f>
        <v>2016.95</v>
      </c>
      <c r="Q162" s="71">
        <f t="shared" si="259"/>
        <v>0</v>
      </c>
      <c r="R162" s="71">
        <f t="shared" si="260"/>
        <v>0</v>
      </c>
      <c r="S162" s="39">
        <f t="shared" si="261"/>
        <v>100</v>
      </c>
      <c r="T162" s="34">
        <f t="shared" si="232"/>
        <v>0</v>
      </c>
      <c r="Y162" s="237">
        <f t="shared" si="225"/>
        <v>0</v>
      </c>
    </row>
    <row r="163" spans="1:25" customFormat="1" ht="25.5" x14ac:dyDescent="0.2">
      <c r="A163" s="345" t="s">
        <v>404</v>
      </c>
      <c r="B163" s="38">
        <v>5213442</v>
      </c>
      <c r="C163" s="345" t="s">
        <v>405</v>
      </c>
      <c r="D163" s="40" t="s">
        <v>216</v>
      </c>
      <c r="E163" s="363">
        <v>59</v>
      </c>
      <c r="F163" s="103">
        <v>0</v>
      </c>
      <c r="G163" s="103"/>
      <c r="H163" s="103">
        <f t="shared" si="304"/>
        <v>0</v>
      </c>
      <c r="I163" s="368">
        <f t="shared" si="305"/>
        <v>59</v>
      </c>
      <c r="J163" s="368">
        <v>517.91999999999996</v>
      </c>
      <c r="K163" s="41">
        <f t="shared" si="298"/>
        <v>632.42999999999995</v>
      </c>
      <c r="L163" s="41">
        <f t="shared" si="299"/>
        <v>37313.370000000003</v>
      </c>
      <c r="M163" s="71">
        <f t="shared" si="306"/>
        <v>0</v>
      </c>
      <c r="N163" s="71">
        <f t="shared" si="307"/>
        <v>0</v>
      </c>
      <c r="O163" s="71">
        <f t="shared" si="308"/>
        <v>0</v>
      </c>
      <c r="P163" s="71">
        <f t="shared" si="309"/>
        <v>37313.370000000003</v>
      </c>
      <c r="Q163" s="71">
        <f t="shared" si="259"/>
        <v>0</v>
      </c>
      <c r="R163" s="71">
        <f t="shared" si="260"/>
        <v>0</v>
      </c>
      <c r="S163" s="39">
        <f t="shared" si="261"/>
        <v>100</v>
      </c>
      <c r="T163" s="34">
        <f t="shared" si="232"/>
        <v>0</v>
      </c>
      <c r="Y163" s="237">
        <f t="shared" si="225"/>
        <v>0</v>
      </c>
    </row>
    <row r="164" spans="1:25" customFormat="1" ht="25.5" x14ac:dyDescent="0.2">
      <c r="A164" s="345" t="s">
        <v>406</v>
      </c>
      <c r="B164" s="38">
        <v>5213466</v>
      </c>
      <c r="C164" s="345" t="s">
        <v>407</v>
      </c>
      <c r="D164" s="40" t="s">
        <v>216</v>
      </c>
      <c r="E164" s="363">
        <v>40</v>
      </c>
      <c r="F164" s="103">
        <v>0</v>
      </c>
      <c r="G164" s="103"/>
      <c r="H164" s="103">
        <f t="shared" si="304"/>
        <v>0</v>
      </c>
      <c r="I164" s="368">
        <f t="shared" si="305"/>
        <v>40</v>
      </c>
      <c r="J164" s="368">
        <v>517.91999999999996</v>
      </c>
      <c r="K164" s="41">
        <f t="shared" si="298"/>
        <v>632.42999999999995</v>
      </c>
      <c r="L164" s="41">
        <f t="shared" si="299"/>
        <v>25297.200000000001</v>
      </c>
      <c r="M164" s="71">
        <f t="shared" si="306"/>
        <v>0</v>
      </c>
      <c r="N164" s="71">
        <f t="shared" si="307"/>
        <v>0</v>
      </c>
      <c r="O164" s="71">
        <f t="shared" si="308"/>
        <v>0</v>
      </c>
      <c r="P164" s="71">
        <f t="shared" si="309"/>
        <v>25297.200000000001</v>
      </c>
      <c r="Q164" s="71">
        <f t="shared" si="259"/>
        <v>0</v>
      </c>
      <c r="R164" s="71">
        <f t="shared" si="260"/>
        <v>0</v>
      </c>
      <c r="S164" s="39">
        <f t="shared" si="261"/>
        <v>100</v>
      </c>
      <c r="T164" s="34">
        <f t="shared" si="232"/>
        <v>0</v>
      </c>
      <c r="Y164" s="237">
        <f t="shared" si="225"/>
        <v>0</v>
      </c>
    </row>
    <row r="165" spans="1:25" customFormat="1" ht="25.5" x14ac:dyDescent="0.2">
      <c r="A165" s="345" t="s">
        <v>408</v>
      </c>
      <c r="B165" s="38">
        <v>5213498</v>
      </c>
      <c r="C165" s="345" t="s">
        <v>409</v>
      </c>
      <c r="D165" s="40" t="s">
        <v>216</v>
      </c>
      <c r="E165" s="363">
        <v>19</v>
      </c>
      <c r="F165" s="103">
        <v>0</v>
      </c>
      <c r="G165" s="103"/>
      <c r="H165" s="103">
        <f t="shared" si="304"/>
        <v>0</v>
      </c>
      <c r="I165" s="368">
        <f t="shared" si="305"/>
        <v>19</v>
      </c>
      <c r="J165" s="368">
        <v>1026.4000000000001</v>
      </c>
      <c r="K165" s="41">
        <f t="shared" si="298"/>
        <v>1253.33</v>
      </c>
      <c r="L165" s="41">
        <f t="shared" si="299"/>
        <v>23813.27</v>
      </c>
      <c r="M165" s="71">
        <f t="shared" si="306"/>
        <v>0</v>
      </c>
      <c r="N165" s="71">
        <f t="shared" si="307"/>
        <v>0</v>
      </c>
      <c r="O165" s="71">
        <f t="shared" si="308"/>
        <v>0</v>
      </c>
      <c r="P165" s="71">
        <f t="shared" si="309"/>
        <v>23813.27</v>
      </c>
      <c r="Q165" s="71">
        <f t="shared" si="259"/>
        <v>0</v>
      </c>
      <c r="R165" s="71">
        <f t="shared" si="260"/>
        <v>0</v>
      </c>
      <c r="S165" s="39">
        <f t="shared" si="261"/>
        <v>100</v>
      </c>
      <c r="T165" s="34">
        <f t="shared" si="232"/>
        <v>0</v>
      </c>
      <c r="Y165" s="237">
        <f t="shared" si="225"/>
        <v>0</v>
      </c>
    </row>
    <row r="166" spans="1:25" customFormat="1" ht="12.75" x14ac:dyDescent="0.2">
      <c r="A166" s="345" t="s">
        <v>410</v>
      </c>
      <c r="B166" s="38">
        <v>5213571</v>
      </c>
      <c r="C166" s="345" t="s">
        <v>411</v>
      </c>
      <c r="D166" s="40" t="s">
        <v>43</v>
      </c>
      <c r="E166" s="363">
        <v>130.30000000000001</v>
      </c>
      <c r="F166" s="103">
        <v>0</v>
      </c>
      <c r="G166" s="103"/>
      <c r="H166" s="103">
        <f t="shared" si="304"/>
        <v>0</v>
      </c>
      <c r="I166" s="368">
        <f t="shared" si="305"/>
        <v>130.30000000000001</v>
      </c>
      <c r="J166" s="368">
        <v>525.45000000000005</v>
      </c>
      <c r="K166" s="41">
        <f t="shared" si="298"/>
        <v>641.62</v>
      </c>
      <c r="L166" s="41">
        <f t="shared" si="299"/>
        <v>83603.08</v>
      </c>
      <c r="M166" s="71">
        <f t="shared" si="306"/>
        <v>0</v>
      </c>
      <c r="N166" s="71">
        <f t="shared" si="307"/>
        <v>0</v>
      </c>
      <c r="O166" s="71">
        <f t="shared" si="308"/>
        <v>0</v>
      </c>
      <c r="P166" s="71">
        <f>L166-O166</f>
        <v>83603.08</v>
      </c>
      <c r="Q166" s="71">
        <f t="shared" si="259"/>
        <v>0</v>
      </c>
      <c r="R166" s="71">
        <f t="shared" si="260"/>
        <v>0</v>
      </c>
      <c r="S166" s="39">
        <f t="shared" si="261"/>
        <v>100</v>
      </c>
      <c r="T166" s="34">
        <f t="shared" si="232"/>
        <v>0</v>
      </c>
      <c r="Y166" s="237">
        <f t="shared" si="225"/>
        <v>0</v>
      </c>
    </row>
    <row r="167" spans="1:25" customFormat="1" ht="25.5" x14ac:dyDescent="0.2">
      <c r="A167" s="345" t="s">
        <v>412</v>
      </c>
      <c r="B167" s="38">
        <v>5216111</v>
      </c>
      <c r="C167" s="345" t="s">
        <v>413</v>
      </c>
      <c r="D167" s="40" t="s">
        <v>216</v>
      </c>
      <c r="E167" s="363">
        <v>178</v>
      </c>
      <c r="F167" s="103">
        <v>0</v>
      </c>
      <c r="G167" s="103"/>
      <c r="H167" s="103">
        <f t="shared" si="304"/>
        <v>0</v>
      </c>
      <c r="I167" s="368">
        <f t="shared" si="305"/>
        <v>178</v>
      </c>
      <c r="J167" s="368">
        <v>122.65</v>
      </c>
      <c r="K167" s="41">
        <f t="shared" si="298"/>
        <v>149.76</v>
      </c>
      <c r="L167" s="41">
        <f t="shared" si="299"/>
        <v>26657.279999999999</v>
      </c>
      <c r="M167" s="71">
        <f t="shared" si="306"/>
        <v>0</v>
      </c>
      <c r="N167" s="71">
        <f t="shared" si="307"/>
        <v>0</v>
      </c>
      <c r="O167" s="71">
        <f t="shared" si="308"/>
        <v>0</v>
      </c>
      <c r="P167" s="71">
        <f t="shared" si="309"/>
        <v>26657.279999999999</v>
      </c>
      <c r="Q167" s="71">
        <f t="shared" si="259"/>
        <v>0</v>
      </c>
      <c r="R167" s="71">
        <f t="shared" si="260"/>
        <v>0</v>
      </c>
      <c r="S167" s="39">
        <f t="shared" si="261"/>
        <v>100</v>
      </c>
      <c r="T167" s="34">
        <f t="shared" si="232"/>
        <v>0</v>
      </c>
      <c r="Y167" s="237">
        <f t="shared" si="225"/>
        <v>0</v>
      </c>
    </row>
    <row r="168" spans="1:25" customFormat="1" ht="12.75" x14ac:dyDescent="0.2">
      <c r="A168" s="47" t="s">
        <v>414</v>
      </c>
      <c r="B168" s="48"/>
      <c r="C168" s="47" t="s">
        <v>415</v>
      </c>
      <c r="D168" s="49"/>
      <c r="E168" s="364" t="s">
        <v>46</v>
      </c>
      <c r="F168" s="365"/>
      <c r="G168" s="365"/>
      <c r="H168" s="365"/>
      <c r="I168" s="365"/>
      <c r="J168" s="50" t="s">
        <v>46</v>
      </c>
      <c r="K168" s="51"/>
      <c r="L168" s="52">
        <f>SUM(L169:L173)</f>
        <v>340744.13</v>
      </c>
      <c r="M168" s="73">
        <f t="shared" ref="M168:P168" si="310">SUM(M169:M173)</f>
        <v>0</v>
      </c>
      <c r="N168" s="73">
        <f t="shared" si="310"/>
        <v>0</v>
      </c>
      <c r="O168" s="73">
        <f t="shared" si="310"/>
        <v>0</v>
      </c>
      <c r="P168" s="73">
        <f t="shared" si="310"/>
        <v>340744.13</v>
      </c>
      <c r="Q168" s="73">
        <f t="shared" si="259"/>
        <v>0</v>
      </c>
      <c r="R168" s="73">
        <f t="shared" si="260"/>
        <v>0</v>
      </c>
      <c r="S168" s="53">
        <f t="shared" si="261"/>
        <v>100</v>
      </c>
      <c r="T168" s="34">
        <f t="shared" si="232"/>
        <v>0</v>
      </c>
      <c r="Y168" s="237">
        <f t="shared" si="225"/>
        <v>0</v>
      </c>
    </row>
    <row r="169" spans="1:25" customFormat="1" ht="25.5" x14ac:dyDescent="0.2">
      <c r="A169" s="345" t="s">
        <v>416</v>
      </c>
      <c r="B169" s="38">
        <v>5213413</v>
      </c>
      <c r="C169" s="345" t="s">
        <v>417</v>
      </c>
      <c r="D169" s="40" t="s">
        <v>43</v>
      </c>
      <c r="E169" s="363">
        <v>2455</v>
      </c>
      <c r="F169" s="103">
        <v>0</v>
      </c>
      <c r="G169" s="103"/>
      <c r="H169" s="103">
        <f t="shared" ref="H169" si="311">F169+G169</f>
        <v>0</v>
      </c>
      <c r="I169" s="368">
        <f t="shared" ref="I169" si="312">ROUND(E169-H169,2)</f>
        <v>2455</v>
      </c>
      <c r="J169" s="368">
        <v>61.63</v>
      </c>
      <c r="K169" s="41">
        <f t="shared" ref="K169:K173" si="313">TRUNC(J169*1.2211,2)</f>
        <v>75.25</v>
      </c>
      <c r="L169" s="41">
        <f t="shared" ref="L169:L173" si="314">TRUNC(E169*K169,2)</f>
        <v>184738.75</v>
      </c>
      <c r="M169" s="71">
        <f t="shared" ref="M169" si="315">ROUND(F169*$K169,2)</f>
        <v>0</v>
      </c>
      <c r="N169" s="71">
        <f t="shared" ref="N169" si="316">ROUND(G169*$K169,2)</f>
        <v>0</v>
      </c>
      <c r="O169" s="71">
        <f t="shared" ref="O169" si="317">ROUND(H169*$K169,2)</f>
        <v>0</v>
      </c>
      <c r="P169" s="71">
        <f t="shared" ref="P169" si="318">ROUND(I169*$K169,2)</f>
        <v>184738.75</v>
      </c>
      <c r="Q169" s="71">
        <f t="shared" si="259"/>
        <v>0</v>
      </c>
      <c r="R169" s="71">
        <f t="shared" si="260"/>
        <v>0</v>
      </c>
      <c r="S169" s="39">
        <f t="shared" si="261"/>
        <v>100</v>
      </c>
      <c r="T169" s="34">
        <f t="shared" si="232"/>
        <v>0</v>
      </c>
      <c r="Y169" s="237">
        <f t="shared" si="225"/>
        <v>0</v>
      </c>
    </row>
    <row r="170" spans="1:25" customFormat="1" ht="25.5" x14ac:dyDescent="0.2">
      <c r="A170" s="345" t="s">
        <v>418</v>
      </c>
      <c r="B170" s="38">
        <v>5213405</v>
      </c>
      <c r="C170" s="345" t="s">
        <v>419</v>
      </c>
      <c r="D170" s="40" t="s">
        <v>43</v>
      </c>
      <c r="E170" s="363">
        <v>91.68</v>
      </c>
      <c r="F170" s="103">
        <v>0</v>
      </c>
      <c r="G170" s="103"/>
      <c r="H170" s="103">
        <f t="shared" ref="H170:H173" si="319">F170+G170</f>
        <v>0</v>
      </c>
      <c r="I170" s="368">
        <f t="shared" ref="I170:I173" si="320">ROUND(E170-H170,2)</f>
        <v>91.68</v>
      </c>
      <c r="J170" s="368">
        <v>51.02</v>
      </c>
      <c r="K170" s="41">
        <f t="shared" si="313"/>
        <v>62.3</v>
      </c>
      <c r="L170" s="41">
        <f t="shared" si="314"/>
        <v>5711.66</v>
      </c>
      <c r="M170" s="71">
        <f t="shared" ref="M170:M173" si="321">ROUND(F170*$K170,2)</f>
        <v>0</v>
      </c>
      <c r="N170" s="71">
        <f t="shared" ref="N170:N173" si="322">ROUND(G170*$K170,2)</f>
        <v>0</v>
      </c>
      <c r="O170" s="71">
        <f t="shared" ref="O170:O173" si="323">ROUND(H170*$K170,2)</f>
        <v>0</v>
      </c>
      <c r="P170" s="71">
        <f t="shared" ref="P170:P173" si="324">ROUND(I170*$K170,2)</f>
        <v>5711.66</v>
      </c>
      <c r="Q170" s="71">
        <f t="shared" si="259"/>
        <v>0</v>
      </c>
      <c r="R170" s="71">
        <f t="shared" si="260"/>
        <v>0</v>
      </c>
      <c r="S170" s="39">
        <f t="shared" si="261"/>
        <v>100</v>
      </c>
      <c r="T170" s="34">
        <f t="shared" si="232"/>
        <v>0</v>
      </c>
      <c r="Y170" s="237">
        <f t="shared" si="225"/>
        <v>0</v>
      </c>
    </row>
    <row r="171" spans="1:25" customFormat="1" ht="25.5" x14ac:dyDescent="0.2">
      <c r="A171" s="345" t="s">
        <v>420</v>
      </c>
      <c r="B171" s="348" t="s">
        <v>421</v>
      </c>
      <c r="C171" s="345" t="s">
        <v>422</v>
      </c>
      <c r="D171" s="40" t="s">
        <v>43</v>
      </c>
      <c r="E171" s="363">
        <v>38.4</v>
      </c>
      <c r="F171" s="103">
        <v>0</v>
      </c>
      <c r="G171" s="103"/>
      <c r="H171" s="103">
        <f t="shared" si="319"/>
        <v>0</v>
      </c>
      <c r="I171" s="368">
        <f t="shared" si="320"/>
        <v>38.4</v>
      </c>
      <c r="J171" s="368">
        <v>23.32</v>
      </c>
      <c r="K171" s="41">
        <f t="shared" si="313"/>
        <v>28.47</v>
      </c>
      <c r="L171" s="41">
        <f t="shared" si="314"/>
        <v>1093.24</v>
      </c>
      <c r="M171" s="71">
        <f t="shared" si="321"/>
        <v>0</v>
      </c>
      <c r="N171" s="71">
        <f t="shared" si="322"/>
        <v>0</v>
      </c>
      <c r="O171" s="71">
        <f t="shared" si="323"/>
        <v>0</v>
      </c>
      <c r="P171" s="71">
        <f>L171-O171</f>
        <v>1093.24</v>
      </c>
      <c r="Q171" s="71">
        <f t="shared" si="259"/>
        <v>0</v>
      </c>
      <c r="R171" s="71">
        <f t="shared" si="260"/>
        <v>0</v>
      </c>
      <c r="S171" s="39">
        <f t="shared" si="261"/>
        <v>100</v>
      </c>
      <c r="T171" s="34">
        <f t="shared" si="232"/>
        <v>0</v>
      </c>
      <c r="Y171" s="237">
        <f t="shared" si="225"/>
        <v>0</v>
      </c>
    </row>
    <row r="172" spans="1:25" customFormat="1" ht="25.5" x14ac:dyDescent="0.2">
      <c r="A172" s="345" t="s">
        <v>423</v>
      </c>
      <c r="B172" s="38">
        <v>5219623</v>
      </c>
      <c r="C172" s="345" t="s">
        <v>424</v>
      </c>
      <c r="D172" s="40" t="s">
        <v>216</v>
      </c>
      <c r="E172" s="363">
        <v>1059</v>
      </c>
      <c r="F172" s="103">
        <v>0</v>
      </c>
      <c r="G172" s="103"/>
      <c r="H172" s="103">
        <f t="shared" si="319"/>
        <v>0</v>
      </c>
      <c r="I172" s="368">
        <f t="shared" si="320"/>
        <v>1059</v>
      </c>
      <c r="J172" s="368">
        <v>53.41</v>
      </c>
      <c r="K172" s="41">
        <f t="shared" si="313"/>
        <v>65.209999999999994</v>
      </c>
      <c r="L172" s="41">
        <f t="shared" si="314"/>
        <v>69057.39</v>
      </c>
      <c r="M172" s="71">
        <f t="shared" si="321"/>
        <v>0</v>
      </c>
      <c r="N172" s="71">
        <f t="shared" si="322"/>
        <v>0</v>
      </c>
      <c r="O172" s="71">
        <f t="shared" si="323"/>
        <v>0</v>
      </c>
      <c r="P172" s="71">
        <f t="shared" si="324"/>
        <v>69057.39</v>
      </c>
      <c r="Q172" s="71">
        <f t="shared" si="259"/>
        <v>0</v>
      </c>
      <c r="R172" s="71">
        <f t="shared" si="260"/>
        <v>0</v>
      </c>
      <c r="S172" s="39">
        <f t="shared" si="261"/>
        <v>100</v>
      </c>
      <c r="T172" s="34">
        <f t="shared" si="232"/>
        <v>0</v>
      </c>
      <c r="Y172" s="237">
        <f t="shared" si="225"/>
        <v>0</v>
      </c>
    </row>
    <row r="173" spans="1:25" customFormat="1" ht="25.5" x14ac:dyDescent="0.2">
      <c r="A173" s="345" t="s">
        <v>425</v>
      </c>
      <c r="B173" s="38">
        <v>5219631</v>
      </c>
      <c r="C173" s="345" t="s">
        <v>426</v>
      </c>
      <c r="D173" s="40" t="s">
        <v>216</v>
      </c>
      <c r="E173" s="363">
        <v>1229</v>
      </c>
      <c r="F173" s="103">
        <v>0</v>
      </c>
      <c r="G173" s="103"/>
      <c r="H173" s="103">
        <f t="shared" si="319"/>
        <v>0</v>
      </c>
      <c r="I173" s="368">
        <f t="shared" si="320"/>
        <v>1229</v>
      </c>
      <c r="J173" s="368">
        <v>53.41</v>
      </c>
      <c r="K173" s="41">
        <f t="shared" si="313"/>
        <v>65.209999999999994</v>
      </c>
      <c r="L173" s="41">
        <f t="shared" si="314"/>
        <v>80143.09</v>
      </c>
      <c r="M173" s="71">
        <f t="shared" si="321"/>
        <v>0</v>
      </c>
      <c r="N173" s="71">
        <f t="shared" si="322"/>
        <v>0</v>
      </c>
      <c r="O173" s="71">
        <f t="shared" si="323"/>
        <v>0</v>
      </c>
      <c r="P173" s="71">
        <f t="shared" si="324"/>
        <v>80143.09</v>
      </c>
      <c r="Q173" s="71">
        <f t="shared" si="259"/>
        <v>0</v>
      </c>
      <c r="R173" s="71">
        <f t="shared" si="260"/>
        <v>0</v>
      </c>
      <c r="S173" s="39">
        <f t="shared" si="261"/>
        <v>100</v>
      </c>
      <c r="T173" s="34">
        <f t="shared" si="232"/>
        <v>0</v>
      </c>
      <c r="Y173" s="237">
        <f t="shared" si="225"/>
        <v>0</v>
      </c>
    </row>
    <row r="174" spans="1:25" customFormat="1" ht="12.75" x14ac:dyDescent="0.2">
      <c r="A174" s="54" t="s">
        <v>427</v>
      </c>
      <c r="B174" s="55"/>
      <c r="C174" s="54" t="s">
        <v>428</v>
      </c>
      <c r="D174" s="56"/>
      <c r="E174" s="366" t="s">
        <v>46</v>
      </c>
      <c r="F174" s="367"/>
      <c r="G174" s="367"/>
      <c r="H174" s="367"/>
      <c r="I174" s="367"/>
      <c r="J174" s="57" t="s">
        <v>46</v>
      </c>
      <c r="K174" s="58"/>
      <c r="L174" s="59">
        <f>L175+L178+L183+L188</f>
        <v>704610.42</v>
      </c>
      <c r="M174" s="72">
        <f t="shared" ref="M174:P174" si="325">M175+M178+M183+M188</f>
        <v>153747.39000000001</v>
      </c>
      <c r="N174" s="72">
        <f t="shared" si="325"/>
        <v>0</v>
      </c>
      <c r="O174" s="72">
        <f t="shared" si="325"/>
        <v>153747.39000000001</v>
      </c>
      <c r="P174" s="72">
        <f t="shared" si="325"/>
        <v>550863.02999999991</v>
      </c>
      <c r="Q174" s="72">
        <f t="shared" si="259"/>
        <v>0</v>
      </c>
      <c r="R174" s="72">
        <f t="shared" si="260"/>
        <v>21.820198174191066</v>
      </c>
      <c r="S174" s="60">
        <f t="shared" si="261"/>
        <v>78.179801825808909</v>
      </c>
      <c r="T174" s="34">
        <f t="shared" si="232"/>
        <v>153747.39000000013</v>
      </c>
      <c r="Y174" s="237">
        <f t="shared" si="225"/>
        <v>0.21820198174191066</v>
      </c>
    </row>
    <row r="175" spans="1:25" customFormat="1" ht="12.75" x14ac:dyDescent="0.2">
      <c r="A175" s="47" t="s">
        <v>429</v>
      </c>
      <c r="B175" s="48"/>
      <c r="C175" s="47" t="s">
        <v>430</v>
      </c>
      <c r="D175" s="49"/>
      <c r="E175" s="364" t="s">
        <v>46</v>
      </c>
      <c r="F175" s="365"/>
      <c r="G175" s="365"/>
      <c r="H175" s="365"/>
      <c r="I175" s="365"/>
      <c r="J175" s="50" t="s">
        <v>46</v>
      </c>
      <c r="K175" s="51"/>
      <c r="L175" s="52">
        <f>SUM(L176:L177)</f>
        <v>190053.78</v>
      </c>
      <c r="M175" s="73">
        <f t="shared" ref="M175:P175" si="326">SUM(M176:M177)</f>
        <v>0</v>
      </c>
      <c r="N175" s="73">
        <f t="shared" si="326"/>
        <v>0</v>
      </c>
      <c r="O175" s="73">
        <f t="shared" si="326"/>
        <v>0</v>
      </c>
      <c r="P175" s="73">
        <f t="shared" si="326"/>
        <v>190053.78</v>
      </c>
      <c r="Q175" s="73">
        <f t="shared" si="259"/>
        <v>0</v>
      </c>
      <c r="R175" s="73">
        <f t="shared" si="260"/>
        <v>0</v>
      </c>
      <c r="S175" s="53">
        <f t="shared" si="261"/>
        <v>100</v>
      </c>
      <c r="T175" s="34">
        <f t="shared" si="232"/>
        <v>0</v>
      </c>
      <c r="Y175" s="237">
        <f t="shared" si="225"/>
        <v>0</v>
      </c>
    </row>
    <row r="176" spans="1:25" customFormat="1" ht="12.75" x14ac:dyDescent="0.2">
      <c r="A176" s="345" t="s">
        <v>431</v>
      </c>
      <c r="B176" s="348" t="s">
        <v>432</v>
      </c>
      <c r="C176" s="345" t="s">
        <v>433</v>
      </c>
      <c r="D176" s="40" t="s">
        <v>43</v>
      </c>
      <c r="E176" s="363">
        <v>3710.25</v>
      </c>
      <c r="F176" s="103">
        <v>0</v>
      </c>
      <c r="G176" s="103"/>
      <c r="H176" s="103">
        <f t="shared" ref="H176" si="327">F176+G176</f>
        <v>0</v>
      </c>
      <c r="I176" s="368">
        <f t="shared" ref="I176" si="328">ROUND(E176-H176,2)</f>
        <v>3710.25</v>
      </c>
      <c r="J176" s="368">
        <v>19.34</v>
      </c>
      <c r="K176" s="41">
        <f t="shared" ref="K176:K177" si="329">TRUNC(J176*1.2211,2)</f>
        <v>23.61</v>
      </c>
      <c r="L176" s="41">
        <f t="shared" ref="L176:L177" si="330">TRUNC(E176*K176,2)</f>
        <v>87599</v>
      </c>
      <c r="M176" s="71">
        <f t="shared" ref="M176" si="331">ROUND(F176*$K176,2)</f>
        <v>0</v>
      </c>
      <c r="N176" s="71">
        <f t="shared" ref="N176" si="332">ROUND(G176*$K176,2)</f>
        <v>0</v>
      </c>
      <c r="O176" s="71">
        <f t="shared" ref="O176" si="333">ROUND(H176*$K176,2)</f>
        <v>0</v>
      </c>
      <c r="P176" s="71">
        <f t="shared" ref="P176" si="334">ROUND(I176*$K176,2)</f>
        <v>87599</v>
      </c>
      <c r="Q176" s="71">
        <f t="shared" si="259"/>
        <v>0</v>
      </c>
      <c r="R176" s="71">
        <f t="shared" si="260"/>
        <v>0</v>
      </c>
      <c r="S176" s="39">
        <f t="shared" si="261"/>
        <v>100</v>
      </c>
      <c r="T176" s="34">
        <f t="shared" si="232"/>
        <v>0</v>
      </c>
      <c r="Y176" s="237">
        <f t="shared" si="225"/>
        <v>0</v>
      </c>
    </row>
    <row r="177" spans="1:25" customFormat="1" ht="12.75" x14ac:dyDescent="0.2">
      <c r="A177" s="348" t="s">
        <v>434</v>
      </c>
      <c r="B177" s="345" t="s">
        <v>435</v>
      </c>
      <c r="C177" s="345" t="s">
        <v>436</v>
      </c>
      <c r="D177" s="40" t="s">
        <v>43</v>
      </c>
      <c r="E177" s="363">
        <v>40656.660000000003</v>
      </c>
      <c r="F177" s="103">
        <v>0</v>
      </c>
      <c r="G177" s="103"/>
      <c r="H177" s="103">
        <f t="shared" ref="H177" si="335">F177+G177</f>
        <v>0</v>
      </c>
      <c r="I177" s="368">
        <f t="shared" ref="I177" si="336">ROUND(E177-H177,2)</f>
        <v>40656.660000000003</v>
      </c>
      <c r="J177" s="368">
        <v>2.0699999999999998</v>
      </c>
      <c r="K177" s="41">
        <f t="shared" si="329"/>
        <v>2.52</v>
      </c>
      <c r="L177" s="41">
        <f t="shared" si="330"/>
        <v>102454.78</v>
      </c>
      <c r="M177" s="71">
        <f t="shared" ref="M177" si="337">ROUND(F177*$K177,2)</f>
        <v>0</v>
      </c>
      <c r="N177" s="71">
        <f t="shared" ref="N177" si="338">ROUND(G177*$K177,2)</f>
        <v>0</v>
      </c>
      <c r="O177" s="71">
        <f t="shared" ref="O177" si="339">ROUND(H177*$K177,2)</f>
        <v>0</v>
      </c>
      <c r="P177" s="71">
        <f t="shared" ref="P177" si="340">ROUND(I177*$K177,2)</f>
        <v>102454.78</v>
      </c>
      <c r="Q177" s="71">
        <f t="shared" si="259"/>
        <v>0</v>
      </c>
      <c r="R177" s="71">
        <f t="shared" si="260"/>
        <v>0</v>
      </c>
      <c r="S177" s="39">
        <f t="shared" si="261"/>
        <v>100</v>
      </c>
      <c r="T177" s="34">
        <f t="shared" si="232"/>
        <v>0</v>
      </c>
      <c r="Y177" s="237">
        <f t="shared" si="225"/>
        <v>0</v>
      </c>
    </row>
    <row r="178" spans="1:25" customFormat="1" ht="12.75" x14ac:dyDescent="0.2">
      <c r="A178" s="47" t="s">
        <v>437</v>
      </c>
      <c r="B178" s="63"/>
      <c r="C178" s="47" t="s">
        <v>438</v>
      </c>
      <c r="D178" s="49"/>
      <c r="E178" s="364" t="s">
        <v>46</v>
      </c>
      <c r="F178" s="365"/>
      <c r="G178" s="365"/>
      <c r="H178" s="365"/>
      <c r="I178" s="365"/>
      <c r="J178" s="50" t="s">
        <v>46</v>
      </c>
      <c r="K178" s="64"/>
      <c r="L178" s="73">
        <f>SUM(L179:L182)</f>
        <v>469122.18</v>
      </c>
      <c r="M178" s="73">
        <f t="shared" ref="M178:P178" si="341">SUM(M179:M182)</f>
        <v>153747.39000000001</v>
      </c>
      <c r="N178" s="73">
        <f t="shared" si="341"/>
        <v>0</v>
      </c>
      <c r="O178" s="73">
        <f t="shared" si="341"/>
        <v>153747.39000000001</v>
      </c>
      <c r="P178" s="73">
        <f t="shared" si="341"/>
        <v>315374.78999999998</v>
      </c>
      <c r="Q178" s="73">
        <f t="shared" si="259"/>
        <v>0</v>
      </c>
      <c r="R178" s="73">
        <f t="shared" si="260"/>
        <v>32.773421627602431</v>
      </c>
      <c r="S178" s="53">
        <f t="shared" si="261"/>
        <v>67.226578372397569</v>
      </c>
      <c r="T178" s="34">
        <f t="shared" si="232"/>
        <v>153747.39000000001</v>
      </c>
      <c r="Y178" s="237">
        <f t="shared" si="225"/>
        <v>0.32773421627602434</v>
      </c>
    </row>
    <row r="179" spans="1:25" customFormat="1" ht="12.75" x14ac:dyDescent="0.2">
      <c r="A179" s="345" t="s">
        <v>439</v>
      </c>
      <c r="B179" s="348" t="s">
        <v>440</v>
      </c>
      <c r="C179" s="345" t="s">
        <v>441</v>
      </c>
      <c r="D179" s="40" t="s">
        <v>53</v>
      </c>
      <c r="E179" s="363">
        <v>50</v>
      </c>
      <c r="F179" s="103">
        <v>0</v>
      </c>
      <c r="G179" s="103"/>
      <c r="H179" s="103">
        <f t="shared" ref="H179" si="342">F179+G179</f>
        <v>0</v>
      </c>
      <c r="I179" s="368">
        <f t="shared" ref="I179" si="343">ROUND(E179-H179,2)</f>
        <v>50</v>
      </c>
      <c r="J179" s="368">
        <v>93.47</v>
      </c>
      <c r="K179" s="41">
        <f t="shared" ref="K179:K182" si="344">TRUNC(J179*1.2211,2)</f>
        <v>114.13</v>
      </c>
      <c r="L179" s="41">
        <f t="shared" ref="L179:L182" si="345">TRUNC(E179*K179,2)</f>
        <v>5706.5</v>
      </c>
      <c r="M179" s="71">
        <f t="shared" ref="M179" si="346">ROUND(F179*$K179,2)</f>
        <v>0</v>
      </c>
      <c r="N179" s="71">
        <f t="shared" ref="N179" si="347">ROUND(G179*$K179,2)</f>
        <v>0</v>
      </c>
      <c r="O179" s="71">
        <f t="shared" ref="O179" si="348">ROUND(H179*$K179,2)</f>
        <v>0</v>
      </c>
      <c r="P179" s="71">
        <f t="shared" ref="P179" si="349">ROUND(I179*$K179,2)</f>
        <v>5706.5</v>
      </c>
      <c r="Q179" s="71">
        <f t="shared" si="259"/>
        <v>0</v>
      </c>
      <c r="R179" s="71">
        <f t="shared" si="260"/>
        <v>0</v>
      </c>
      <c r="S179" s="39">
        <f t="shared" si="261"/>
        <v>100</v>
      </c>
      <c r="T179" s="34">
        <f t="shared" si="232"/>
        <v>0</v>
      </c>
      <c r="Y179" s="237">
        <f t="shared" si="225"/>
        <v>0</v>
      </c>
    </row>
    <row r="180" spans="1:25" customFormat="1" ht="25.5" x14ac:dyDescent="0.2">
      <c r="A180" s="345" t="s">
        <v>442</v>
      </c>
      <c r="B180" s="348" t="s">
        <v>443</v>
      </c>
      <c r="C180" s="345" t="s">
        <v>444</v>
      </c>
      <c r="D180" s="40" t="s">
        <v>57</v>
      </c>
      <c r="E180" s="363">
        <v>4883</v>
      </c>
      <c r="F180" s="103">
        <v>0</v>
      </c>
      <c r="G180" s="103"/>
      <c r="H180" s="103">
        <f t="shared" ref="H180:H182" si="350">F180+G180</f>
        <v>0</v>
      </c>
      <c r="I180" s="368">
        <f t="shared" ref="I180:I182" si="351">ROUND(E180-H180,2)</f>
        <v>4883</v>
      </c>
      <c r="J180" s="368">
        <v>1.3</v>
      </c>
      <c r="K180" s="41">
        <f t="shared" si="344"/>
        <v>1.58</v>
      </c>
      <c r="L180" s="41">
        <f t="shared" si="345"/>
        <v>7715.14</v>
      </c>
      <c r="M180" s="71">
        <f t="shared" ref="M180:M182" si="352">ROUND(F180*$K180,2)</f>
        <v>0</v>
      </c>
      <c r="N180" s="71">
        <f t="shared" ref="N180:N182" si="353">ROUND(G180*$K180,2)</f>
        <v>0</v>
      </c>
      <c r="O180" s="71">
        <f t="shared" ref="O180:O182" si="354">ROUND(H180*$K180,2)</f>
        <v>0</v>
      </c>
      <c r="P180" s="71">
        <f t="shared" ref="P180:P182" si="355">ROUND(I180*$K180,2)</f>
        <v>7715.14</v>
      </c>
      <c r="Q180" s="71">
        <f t="shared" si="259"/>
        <v>0</v>
      </c>
      <c r="R180" s="71">
        <f t="shared" si="260"/>
        <v>0</v>
      </c>
      <c r="S180" s="39">
        <f t="shared" si="261"/>
        <v>100</v>
      </c>
      <c r="T180" s="34">
        <f t="shared" si="232"/>
        <v>0</v>
      </c>
      <c r="Y180" s="237">
        <f t="shared" si="225"/>
        <v>0</v>
      </c>
    </row>
    <row r="181" spans="1:25" customFormat="1" ht="12.75" x14ac:dyDescent="0.2">
      <c r="A181" s="345" t="s">
        <v>445</v>
      </c>
      <c r="B181" s="348" t="s">
        <v>446</v>
      </c>
      <c r="C181" s="345" t="s">
        <v>447</v>
      </c>
      <c r="D181" s="40" t="s">
        <v>448</v>
      </c>
      <c r="E181" s="363">
        <v>60057</v>
      </c>
      <c r="F181" s="103">
        <v>0</v>
      </c>
      <c r="G181" s="103"/>
      <c r="H181" s="103">
        <f t="shared" si="350"/>
        <v>0</v>
      </c>
      <c r="I181" s="368">
        <f t="shared" si="351"/>
        <v>60057</v>
      </c>
      <c r="J181" s="368">
        <v>0.45</v>
      </c>
      <c r="K181" s="41">
        <f t="shared" si="344"/>
        <v>0.54</v>
      </c>
      <c r="L181" s="41">
        <f t="shared" si="345"/>
        <v>32430.78</v>
      </c>
      <c r="M181" s="71">
        <f t="shared" si="352"/>
        <v>0</v>
      </c>
      <c r="N181" s="71">
        <f t="shared" si="353"/>
        <v>0</v>
      </c>
      <c r="O181" s="71">
        <f t="shared" si="354"/>
        <v>0</v>
      </c>
      <c r="P181" s="71">
        <f t="shared" si="355"/>
        <v>32430.78</v>
      </c>
      <c r="Q181" s="71">
        <f t="shared" si="259"/>
        <v>0</v>
      </c>
      <c r="R181" s="71">
        <f t="shared" si="260"/>
        <v>0</v>
      </c>
      <c r="S181" s="39">
        <f t="shared" si="261"/>
        <v>100</v>
      </c>
      <c r="T181" s="34">
        <f t="shared" si="232"/>
        <v>0</v>
      </c>
      <c r="Y181" s="237">
        <f t="shared" si="225"/>
        <v>0</v>
      </c>
    </row>
    <row r="182" spans="1:25" customFormat="1" ht="25.5" x14ac:dyDescent="0.2">
      <c r="A182" s="345" t="s">
        <v>449</v>
      </c>
      <c r="B182" s="44"/>
      <c r="C182" s="345" t="s">
        <v>450</v>
      </c>
      <c r="D182" s="40" t="s">
        <v>57</v>
      </c>
      <c r="E182" s="363">
        <v>17088</v>
      </c>
      <c r="F182" s="103">
        <v>6207</v>
      </c>
      <c r="G182" s="103"/>
      <c r="H182" s="103">
        <f t="shared" si="350"/>
        <v>6207</v>
      </c>
      <c r="I182" s="368">
        <f t="shared" si="351"/>
        <v>10881</v>
      </c>
      <c r="J182" s="368">
        <v>20.29</v>
      </c>
      <c r="K182" s="41">
        <f t="shared" si="344"/>
        <v>24.77</v>
      </c>
      <c r="L182" s="41">
        <f t="shared" si="345"/>
        <v>423269.76</v>
      </c>
      <c r="M182" s="71">
        <f t="shared" si="352"/>
        <v>153747.39000000001</v>
      </c>
      <c r="N182" s="71">
        <f t="shared" si="353"/>
        <v>0</v>
      </c>
      <c r="O182" s="71">
        <f t="shared" si="354"/>
        <v>153747.39000000001</v>
      </c>
      <c r="P182" s="71">
        <f t="shared" si="355"/>
        <v>269522.37</v>
      </c>
      <c r="Q182" s="71">
        <f t="shared" si="259"/>
        <v>0</v>
      </c>
      <c r="R182" s="71">
        <f t="shared" si="260"/>
        <v>36.323735955056179</v>
      </c>
      <c r="S182" s="39">
        <f t="shared" si="261"/>
        <v>63.676264044943821</v>
      </c>
      <c r="T182" s="34">
        <f t="shared" si="232"/>
        <v>153747.39000000001</v>
      </c>
      <c r="Y182" s="237">
        <f t="shared" si="225"/>
        <v>0.3632373595505618</v>
      </c>
    </row>
    <row r="183" spans="1:25" customFormat="1" ht="12.75" x14ac:dyDescent="0.2">
      <c r="A183" s="47" t="s">
        <v>452</v>
      </c>
      <c r="B183" s="63"/>
      <c r="C183" s="47" t="s">
        <v>453</v>
      </c>
      <c r="D183" s="49"/>
      <c r="E183" s="364" t="s">
        <v>46</v>
      </c>
      <c r="F183" s="365"/>
      <c r="G183" s="365"/>
      <c r="H183" s="365"/>
      <c r="I183" s="365"/>
      <c r="J183" s="50" t="s">
        <v>46</v>
      </c>
      <c r="K183" s="64"/>
      <c r="L183" s="73">
        <f>SUM(L184:L187)</f>
        <v>28473.059999999998</v>
      </c>
      <c r="M183" s="73">
        <f t="shared" ref="M183:P183" si="356">SUM(M184:M187)</f>
        <v>0</v>
      </c>
      <c r="N183" s="73">
        <f t="shared" si="356"/>
        <v>0</v>
      </c>
      <c r="O183" s="73">
        <f t="shared" si="356"/>
        <v>0</v>
      </c>
      <c r="P183" s="73">
        <f t="shared" si="356"/>
        <v>28473.059999999998</v>
      </c>
      <c r="Q183" s="73">
        <f t="shared" si="259"/>
        <v>0</v>
      </c>
      <c r="R183" s="73">
        <f t="shared" si="260"/>
        <v>0</v>
      </c>
      <c r="S183" s="53">
        <f t="shared" si="261"/>
        <v>100</v>
      </c>
      <c r="T183" s="34">
        <f t="shared" si="232"/>
        <v>0</v>
      </c>
      <c r="Y183" s="237">
        <f t="shared" si="225"/>
        <v>0</v>
      </c>
    </row>
    <row r="184" spans="1:25" customFormat="1" ht="38.25" x14ac:dyDescent="0.2">
      <c r="A184" s="345" t="s">
        <v>454</v>
      </c>
      <c r="B184" s="348" t="s">
        <v>455</v>
      </c>
      <c r="C184" s="44" t="s">
        <v>456</v>
      </c>
      <c r="D184" s="40" t="s">
        <v>43</v>
      </c>
      <c r="E184" s="363">
        <v>210</v>
      </c>
      <c r="F184" s="103">
        <v>0</v>
      </c>
      <c r="G184" s="103"/>
      <c r="H184" s="103">
        <f t="shared" ref="H184" si="357">F184+G184</f>
        <v>0</v>
      </c>
      <c r="I184" s="368">
        <f t="shared" ref="I184" si="358">ROUND(E184-H184,2)</f>
        <v>210</v>
      </c>
      <c r="J184" s="368">
        <v>87.88</v>
      </c>
      <c r="K184" s="41">
        <f t="shared" ref="K184:K187" si="359">TRUNC(J184*1.2211,2)</f>
        <v>107.31</v>
      </c>
      <c r="L184" s="41">
        <f t="shared" ref="L184:L187" si="360">TRUNC(E184*K184,2)</f>
        <v>22535.1</v>
      </c>
      <c r="M184" s="71">
        <f t="shared" ref="M184" si="361">ROUND(F184*$K184,2)</f>
        <v>0</v>
      </c>
      <c r="N184" s="71">
        <f t="shared" ref="N184" si="362">ROUND(G184*$K184,2)</f>
        <v>0</v>
      </c>
      <c r="O184" s="71">
        <f t="shared" ref="O184" si="363">ROUND(H184*$K184,2)</f>
        <v>0</v>
      </c>
      <c r="P184" s="71">
        <f t="shared" ref="P184" si="364">ROUND(I184*$K184,2)</f>
        <v>22535.1</v>
      </c>
      <c r="Q184" s="71">
        <f t="shared" si="259"/>
        <v>0</v>
      </c>
      <c r="R184" s="71">
        <f t="shared" si="260"/>
        <v>0</v>
      </c>
      <c r="S184" s="39">
        <f t="shared" si="261"/>
        <v>100</v>
      </c>
      <c r="T184" s="34">
        <f t="shared" si="232"/>
        <v>0</v>
      </c>
      <c r="Y184" s="237">
        <f t="shared" si="225"/>
        <v>0</v>
      </c>
    </row>
    <row r="185" spans="1:25" customFormat="1" ht="25.5" x14ac:dyDescent="0.2">
      <c r="A185" s="345" t="s">
        <v>457</v>
      </c>
      <c r="B185" s="348" t="s">
        <v>458</v>
      </c>
      <c r="C185" s="345" t="s">
        <v>459</v>
      </c>
      <c r="D185" s="40" t="s">
        <v>77</v>
      </c>
      <c r="E185" s="363">
        <v>21</v>
      </c>
      <c r="F185" s="103">
        <v>0</v>
      </c>
      <c r="G185" s="103"/>
      <c r="H185" s="103">
        <f t="shared" ref="H185:H187" si="365">F185+G185</f>
        <v>0</v>
      </c>
      <c r="I185" s="368">
        <f t="shared" ref="I185:I187" si="366">ROUND(E185-H185,2)</f>
        <v>21</v>
      </c>
      <c r="J185" s="368">
        <v>167.82</v>
      </c>
      <c r="K185" s="41">
        <f t="shared" si="359"/>
        <v>204.92</v>
      </c>
      <c r="L185" s="41">
        <f t="shared" si="360"/>
        <v>4303.32</v>
      </c>
      <c r="M185" s="71">
        <f t="shared" ref="M185:M187" si="367">ROUND(F185*$K185,2)</f>
        <v>0</v>
      </c>
      <c r="N185" s="71">
        <f t="shared" ref="N185:N187" si="368">ROUND(G185*$K185,2)</f>
        <v>0</v>
      </c>
      <c r="O185" s="71">
        <f t="shared" ref="O185:O187" si="369">ROUND(H185*$K185,2)</f>
        <v>0</v>
      </c>
      <c r="P185" s="71">
        <f t="shared" ref="P185:P187" si="370">ROUND(I185*$K185,2)</f>
        <v>4303.32</v>
      </c>
      <c r="Q185" s="71">
        <f t="shared" si="259"/>
        <v>0</v>
      </c>
      <c r="R185" s="71">
        <f t="shared" si="260"/>
        <v>0</v>
      </c>
      <c r="S185" s="39">
        <f t="shared" si="261"/>
        <v>100</v>
      </c>
      <c r="T185" s="34">
        <f t="shared" si="232"/>
        <v>0</v>
      </c>
      <c r="Y185" s="237">
        <f t="shared" si="225"/>
        <v>0</v>
      </c>
    </row>
    <row r="186" spans="1:25" customFormat="1" ht="25.5" x14ac:dyDescent="0.2">
      <c r="A186" s="345" t="s">
        <v>460</v>
      </c>
      <c r="B186" s="348" t="s">
        <v>461</v>
      </c>
      <c r="C186" s="345" t="s">
        <v>462</v>
      </c>
      <c r="D186" s="40" t="s">
        <v>57</v>
      </c>
      <c r="E186" s="363">
        <v>21</v>
      </c>
      <c r="F186" s="103">
        <v>0</v>
      </c>
      <c r="G186" s="103"/>
      <c r="H186" s="103">
        <f t="shared" si="365"/>
        <v>0</v>
      </c>
      <c r="I186" s="368">
        <f t="shared" si="366"/>
        <v>21</v>
      </c>
      <c r="J186" s="368">
        <v>41.44</v>
      </c>
      <c r="K186" s="41">
        <f t="shared" si="359"/>
        <v>50.6</v>
      </c>
      <c r="L186" s="41">
        <f t="shared" si="360"/>
        <v>1062.5999999999999</v>
      </c>
      <c r="M186" s="71">
        <f t="shared" si="367"/>
        <v>0</v>
      </c>
      <c r="N186" s="71">
        <f t="shared" si="368"/>
        <v>0</v>
      </c>
      <c r="O186" s="71">
        <f t="shared" si="369"/>
        <v>0</v>
      </c>
      <c r="P186" s="71">
        <f t="shared" si="370"/>
        <v>1062.5999999999999</v>
      </c>
      <c r="Q186" s="71">
        <f t="shared" si="259"/>
        <v>0</v>
      </c>
      <c r="R186" s="71">
        <f t="shared" si="260"/>
        <v>0</v>
      </c>
      <c r="S186" s="39">
        <f t="shared" si="261"/>
        <v>100</v>
      </c>
      <c r="T186" s="34">
        <f t="shared" si="232"/>
        <v>0</v>
      </c>
      <c r="Y186" s="237">
        <f t="shared" si="225"/>
        <v>0</v>
      </c>
    </row>
    <row r="187" spans="1:25" customFormat="1" ht="25.5" x14ac:dyDescent="0.2">
      <c r="A187" s="345" t="s">
        <v>463</v>
      </c>
      <c r="B187" s="348" t="s">
        <v>464</v>
      </c>
      <c r="C187" s="345" t="s">
        <v>465</v>
      </c>
      <c r="D187" s="40" t="s">
        <v>57</v>
      </c>
      <c r="E187" s="363">
        <v>7</v>
      </c>
      <c r="F187" s="103">
        <v>0</v>
      </c>
      <c r="G187" s="103"/>
      <c r="H187" s="103">
        <f t="shared" si="365"/>
        <v>0</v>
      </c>
      <c r="I187" s="368">
        <f t="shared" si="366"/>
        <v>7</v>
      </c>
      <c r="J187" s="368">
        <v>66.930000000000007</v>
      </c>
      <c r="K187" s="41">
        <f t="shared" si="359"/>
        <v>81.72</v>
      </c>
      <c r="L187" s="41">
        <f t="shared" si="360"/>
        <v>572.04</v>
      </c>
      <c r="M187" s="71">
        <f t="shared" si="367"/>
        <v>0</v>
      </c>
      <c r="N187" s="71">
        <f t="shared" si="368"/>
        <v>0</v>
      </c>
      <c r="O187" s="71">
        <f t="shared" si="369"/>
        <v>0</v>
      </c>
      <c r="P187" s="71">
        <f t="shared" si="370"/>
        <v>572.04</v>
      </c>
      <c r="Q187" s="71">
        <f t="shared" si="259"/>
        <v>0</v>
      </c>
      <c r="R187" s="71">
        <f t="shared" si="260"/>
        <v>0</v>
      </c>
      <c r="S187" s="39">
        <f t="shared" si="261"/>
        <v>100</v>
      </c>
      <c r="T187" s="34">
        <f t="shared" si="232"/>
        <v>0</v>
      </c>
      <c r="Y187" s="237">
        <f t="shared" si="225"/>
        <v>0</v>
      </c>
    </row>
    <row r="188" spans="1:25" customFormat="1" ht="12.75" x14ac:dyDescent="0.2">
      <c r="A188" s="47" t="s">
        <v>466</v>
      </c>
      <c r="B188" s="63"/>
      <c r="C188" s="47" t="s">
        <v>467</v>
      </c>
      <c r="D188" s="49"/>
      <c r="E188" s="364" t="s">
        <v>46</v>
      </c>
      <c r="F188" s="365"/>
      <c r="G188" s="365"/>
      <c r="H188" s="365"/>
      <c r="I188" s="365"/>
      <c r="J188" s="50" t="s">
        <v>46</v>
      </c>
      <c r="K188" s="64"/>
      <c r="L188" s="73">
        <f>SUM(L189:L190)</f>
        <v>16961.400000000001</v>
      </c>
      <c r="M188" s="73">
        <f t="shared" ref="M188:P188" si="371">SUM(M189:M190)</f>
        <v>0</v>
      </c>
      <c r="N188" s="73">
        <f t="shared" si="371"/>
        <v>0</v>
      </c>
      <c r="O188" s="73">
        <f t="shared" si="371"/>
        <v>0</v>
      </c>
      <c r="P188" s="73">
        <f t="shared" si="371"/>
        <v>16961.400000000001</v>
      </c>
      <c r="Q188" s="73">
        <f t="shared" si="259"/>
        <v>0</v>
      </c>
      <c r="R188" s="73">
        <f t="shared" si="260"/>
        <v>0</v>
      </c>
      <c r="S188" s="53">
        <f t="shared" si="261"/>
        <v>100</v>
      </c>
      <c r="T188" s="34">
        <f t="shared" si="232"/>
        <v>0</v>
      </c>
      <c r="Y188" s="237">
        <f t="shared" si="225"/>
        <v>0</v>
      </c>
    </row>
    <row r="189" spans="1:25" customFormat="1" ht="12.75" x14ac:dyDescent="0.2">
      <c r="A189" s="345" t="s">
        <v>468</v>
      </c>
      <c r="B189" s="348" t="s">
        <v>469</v>
      </c>
      <c r="C189" s="345" t="s">
        <v>470</v>
      </c>
      <c r="D189" s="40" t="s">
        <v>77</v>
      </c>
      <c r="E189" s="363">
        <v>20</v>
      </c>
      <c r="F189" s="103">
        <v>0</v>
      </c>
      <c r="G189" s="103"/>
      <c r="H189" s="103">
        <f t="shared" ref="H189" si="372">F189+G189</f>
        <v>0</v>
      </c>
      <c r="I189" s="368">
        <f t="shared" ref="I189" si="373">ROUND(E189-H189,2)</f>
        <v>20</v>
      </c>
      <c r="J189" s="368">
        <v>523.1</v>
      </c>
      <c r="K189" s="41">
        <f t="shared" ref="K189:K190" si="374">TRUNC(J189*1.2211,2)</f>
        <v>638.75</v>
      </c>
      <c r="L189" s="41">
        <f t="shared" ref="L189:L190" si="375">TRUNC(E189*K189,2)</f>
        <v>12775</v>
      </c>
      <c r="M189" s="71">
        <f t="shared" ref="M189" si="376">ROUND(F189*$K189,2)</f>
        <v>0</v>
      </c>
      <c r="N189" s="71">
        <f t="shared" ref="N189" si="377">ROUND(G189*$K189,2)</f>
        <v>0</v>
      </c>
      <c r="O189" s="71">
        <f t="shared" ref="O189" si="378">ROUND(H189*$K189,2)</f>
        <v>0</v>
      </c>
      <c r="P189" s="71">
        <f t="shared" ref="P189" si="379">ROUND(I189*$K189,2)</f>
        <v>12775</v>
      </c>
      <c r="Q189" s="71">
        <f t="shared" si="259"/>
        <v>0</v>
      </c>
      <c r="R189" s="71">
        <f t="shared" si="260"/>
        <v>0</v>
      </c>
      <c r="S189" s="39">
        <f t="shared" si="261"/>
        <v>100</v>
      </c>
      <c r="T189" s="34">
        <f t="shared" si="232"/>
        <v>0</v>
      </c>
      <c r="V189">
        <v>240284.79</v>
      </c>
      <c r="Y189" s="237">
        <f t="shared" si="225"/>
        <v>0</v>
      </c>
    </row>
    <row r="190" spans="1:25" customFormat="1" ht="25.5" x14ac:dyDescent="0.2">
      <c r="A190" s="345" t="s">
        <v>471</v>
      </c>
      <c r="B190" s="348" t="s">
        <v>472</v>
      </c>
      <c r="C190" s="345" t="s">
        <v>473</v>
      </c>
      <c r="D190" s="40" t="s">
        <v>43</v>
      </c>
      <c r="E190" s="363">
        <v>80</v>
      </c>
      <c r="F190" s="103">
        <v>0</v>
      </c>
      <c r="G190" s="103"/>
      <c r="H190" s="103">
        <f t="shared" ref="H190" si="380">F190+G190</f>
        <v>0</v>
      </c>
      <c r="I190" s="368">
        <f t="shared" ref="I190" si="381">ROUND(E190-H190,2)</f>
        <v>80</v>
      </c>
      <c r="J190" s="368">
        <v>42.86</v>
      </c>
      <c r="K190" s="41">
        <f t="shared" si="374"/>
        <v>52.33</v>
      </c>
      <c r="L190" s="41">
        <f t="shared" si="375"/>
        <v>4186.3999999999996</v>
      </c>
      <c r="M190" s="71">
        <f t="shared" ref="M190" si="382">ROUND(F190*$K190,2)</f>
        <v>0</v>
      </c>
      <c r="N190" s="71">
        <f t="shared" ref="N190" si="383">ROUND(G190*$K190,2)</f>
        <v>0</v>
      </c>
      <c r="O190" s="71">
        <f t="shared" ref="O190" si="384">ROUND(H190*$K190,2)</f>
        <v>0</v>
      </c>
      <c r="P190" s="71">
        <f t="shared" ref="P190" si="385">ROUND(I190*$K190,2)</f>
        <v>4186.3999999999996</v>
      </c>
      <c r="Q190" s="71">
        <f t="shared" si="259"/>
        <v>0</v>
      </c>
      <c r="R190" s="71">
        <f t="shared" si="260"/>
        <v>0</v>
      </c>
      <c r="S190" s="39">
        <f t="shared" si="261"/>
        <v>100</v>
      </c>
      <c r="T190" s="34">
        <f t="shared" si="232"/>
        <v>0</v>
      </c>
      <c r="Y190" s="237">
        <f t="shared" si="225"/>
        <v>0</v>
      </c>
    </row>
    <row r="191" spans="1:25" customFormat="1" ht="12.75" x14ac:dyDescent="0.2">
      <c r="A191" s="54" t="s">
        <v>474</v>
      </c>
      <c r="B191" s="61"/>
      <c r="C191" s="54" t="s">
        <v>475</v>
      </c>
      <c r="D191" s="56"/>
      <c r="E191" s="366" t="s">
        <v>46</v>
      </c>
      <c r="F191" s="367"/>
      <c r="G191" s="367"/>
      <c r="H191" s="367"/>
      <c r="I191" s="367"/>
      <c r="J191" s="57" t="s">
        <v>46</v>
      </c>
      <c r="K191" s="62"/>
      <c r="L191" s="59">
        <f>L192+L196</f>
        <v>254083.18999999997</v>
      </c>
      <c r="M191" s="72">
        <f t="shared" ref="M191:P191" si="386">M192+M196</f>
        <v>154294.50000000003</v>
      </c>
      <c r="N191" s="72">
        <f t="shared" si="386"/>
        <v>26431.320000000003</v>
      </c>
      <c r="O191" s="72">
        <f t="shared" si="386"/>
        <v>180725.82</v>
      </c>
      <c r="P191" s="72">
        <f t="shared" si="386"/>
        <v>74178.94</v>
      </c>
      <c r="Q191" s="72">
        <f t="shared" si="259"/>
        <v>10.402624431785513</v>
      </c>
      <c r="R191" s="72">
        <f t="shared" si="260"/>
        <v>71.128601620595219</v>
      </c>
      <c r="S191" s="60">
        <f t="shared" si="261"/>
        <v>29.19474523285071</v>
      </c>
      <c r="T191" s="34">
        <f t="shared" si="232"/>
        <v>179904.24999999997</v>
      </c>
      <c r="U191" s="79">
        <f>(L192/U192)</f>
        <v>2.5824198747875893E-2</v>
      </c>
      <c r="V191" s="78">
        <f>N207*U191</f>
        <v>34895.151794511446</v>
      </c>
      <c r="Y191" s="237">
        <f t="shared" si="225"/>
        <v>0.71128601620595222</v>
      </c>
    </row>
    <row r="192" spans="1:25" customFormat="1" ht="12.75" x14ac:dyDescent="0.2">
      <c r="A192" s="47" t="s">
        <v>476</v>
      </c>
      <c r="B192" s="63"/>
      <c r="C192" s="47" t="s">
        <v>477</v>
      </c>
      <c r="D192" s="49"/>
      <c r="E192" s="364" t="s">
        <v>46</v>
      </c>
      <c r="F192" s="365"/>
      <c r="G192" s="365"/>
      <c r="H192" s="365"/>
      <c r="I192" s="365"/>
      <c r="J192" s="50" t="s">
        <v>46</v>
      </c>
      <c r="K192" s="64"/>
      <c r="L192" s="52">
        <f>SUM(L193:L195)</f>
        <v>240284.78999999998</v>
      </c>
      <c r="M192" s="73">
        <f t="shared" ref="M192:P192" si="387">SUM(M193:M195)</f>
        <v>147395.30000000002</v>
      </c>
      <c r="N192" s="73">
        <f>SUM(N193:N195)</f>
        <v>26431.320000000003</v>
      </c>
      <c r="O192" s="73">
        <f t="shared" si="387"/>
        <v>173826.62</v>
      </c>
      <c r="P192" s="73">
        <f t="shared" si="387"/>
        <v>67279.740000000005</v>
      </c>
      <c r="Q192" s="73">
        <f t="shared" si="259"/>
        <v>10.999997128407506</v>
      </c>
      <c r="R192" s="73">
        <f t="shared" si="260"/>
        <v>72.341915607725312</v>
      </c>
      <c r="S192" s="53">
        <f t="shared" si="261"/>
        <v>27.999999500592615</v>
      </c>
      <c r="T192" s="34">
        <f t="shared" si="232"/>
        <v>173005.05</v>
      </c>
      <c r="U192" s="99">
        <v>9304636.8000000007</v>
      </c>
      <c r="Y192" s="237">
        <f t="shared" si="225"/>
        <v>0.72341915607725316</v>
      </c>
    </row>
    <row r="193" spans="1:25" customFormat="1" ht="12.75" x14ac:dyDescent="0.2">
      <c r="A193" s="345" t="s">
        <v>478</v>
      </c>
      <c r="B193" s="44"/>
      <c r="C193" s="345" t="s">
        <v>479</v>
      </c>
      <c r="D193" s="40" t="s">
        <v>53</v>
      </c>
      <c r="E193" s="363">
        <v>1</v>
      </c>
      <c r="F193" s="103">
        <v>0.61341676485888086</v>
      </c>
      <c r="G193" s="103">
        <f>'CALCULO ADM LOCAL - BM 15 CT'!E19</f>
        <v>0.11</v>
      </c>
      <c r="H193" s="103">
        <f t="shared" ref="H193" si="388">F193+G193</f>
        <v>0.72341676485888085</v>
      </c>
      <c r="I193" s="368">
        <f t="shared" ref="I193" si="389">ROUND(E193-H193,2)</f>
        <v>0.28000000000000003</v>
      </c>
      <c r="J193" s="368">
        <v>188348</v>
      </c>
      <c r="K193" s="41">
        <f t="shared" ref="K193:K195" si="390">TRUNC(J193*1.2211,2)</f>
        <v>229991.74</v>
      </c>
      <c r="L193" s="41">
        <f t="shared" ref="L193:L195" si="391">TRUNC(E193*K193,2)</f>
        <v>229991.74</v>
      </c>
      <c r="M193" s="71">
        <f t="shared" ref="M193:N195" si="392">ROUND(F193*$K193,2)</f>
        <v>141080.79</v>
      </c>
      <c r="N193" s="71">
        <f t="shared" si="392"/>
        <v>25299.09</v>
      </c>
      <c r="O193" s="71">
        <f>M193+N193</f>
        <v>166379.88</v>
      </c>
      <c r="P193" s="71">
        <f t="shared" ref="P193" si="393">ROUND(I193*$K193,2)</f>
        <v>64397.69</v>
      </c>
      <c r="Q193" s="71">
        <f t="shared" si="259"/>
        <v>10.999999391282488</v>
      </c>
      <c r="R193" s="71">
        <f t="shared" si="260"/>
        <v>72.341676270634764</v>
      </c>
      <c r="S193" s="39">
        <f t="shared" si="261"/>
        <v>28.000001217435027</v>
      </c>
      <c r="T193" s="34">
        <f t="shared" si="232"/>
        <v>165594.04999999999</v>
      </c>
      <c r="V193" s="80">
        <f>V191/V189</f>
        <v>0.14522413921626684</v>
      </c>
      <c r="Y193" s="237">
        <f t="shared" si="225"/>
        <v>0.72341676270634769</v>
      </c>
    </row>
    <row r="194" spans="1:25" customFormat="1" ht="12.75" x14ac:dyDescent="0.2">
      <c r="A194" s="345" t="s">
        <v>481</v>
      </c>
      <c r="B194" s="44"/>
      <c r="C194" s="345" t="s">
        <v>482</v>
      </c>
      <c r="D194" s="40" t="s">
        <v>53</v>
      </c>
      <c r="E194" s="363">
        <v>1</v>
      </c>
      <c r="F194" s="103">
        <v>0.61347326485888087</v>
      </c>
      <c r="G194" s="103">
        <f>G193</f>
        <v>0.11</v>
      </c>
      <c r="H194" s="103">
        <f t="shared" ref="H194:H197" si="394">F194+G194</f>
        <v>0.72347326485888086</v>
      </c>
      <c r="I194" s="368">
        <f t="shared" ref="I194:I195" si="395">ROUND(E194-H194,2)</f>
        <v>0.28000000000000003</v>
      </c>
      <c r="J194" s="368">
        <v>5309.33</v>
      </c>
      <c r="K194" s="41">
        <f t="shared" si="390"/>
        <v>6483.22</v>
      </c>
      <c r="L194" s="41">
        <f t="shared" si="391"/>
        <v>6483.22</v>
      </c>
      <c r="M194" s="71">
        <f t="shared" ref="M194:M195" si="396">ROUND(F194*$K194,2)</f>
        <v>3977.28</v>
      </c>
      <c r="N194" s="71">
        <f t="shared" si="392"/>
        <v>713.15</v>
      </c>
      <c r="O194" s="71">
        <f>M194+N194</f>
        <v>4690.43</v>
      </c>
      <c r="P194" s="71">
        <f t="shared" ref="P194:P195" si="397">ROUND(I194*$K194,2)</f>
        <v>1815.3</v>
      </c>
      <c r="Q194" s="71">
        <f t="shared" si="259"/>
        <v>10.999935217376549</v>
      </c>
      <c r="R194" s="71">
        <f t="shared" si="260"/>
        <v>72.347228691915447</v>
      </c>
      <c r="S194" s="39">
        <f t="shared" si="261"/>
        <v>27.999975320905353</v>
      </c>
      <c r="T194" s="34">
        <f t="shared" si="232"/>
        <v>4667.92</v>
      </c>
      <c r="Y194" s="237">
        <f t="shared" si="225"/>
        <v>0.72347228691915444</v>
      </c>
    </row>
    <row r="195" spans="1:25" customFormat="1" ht="12.75" x14ac:dyDescent="0.2">
      <c r="A195" s="345" t="s">
        <v>483</v>
      </c>
      <c r="B195" s="44"/>
      <c r="C195" s="345" t="s">
        <v>484</v>
      </c>
      <c r="D195" s="40" t="s">
        <v>53</v>
      </c>
      <c r="E195" s="363">
        <v>1</v>
      </c>
      <c r="F195" s="103">
        <v>0.61347326485888087</v>
      </c>
      <c r="G195" s="103">
        <f>G193</f>
        <v>0.11</v>
      </c>
      <c r="H195" s="103">
        <f t="shared" si="394"/>
        <v>0.72347326485888086</v>
      </c>
      <c r="I195" s="368">
        <f t="shared" si="395"/>
        <v>0.28000000000000003</v>
      </c>
      <c r="J195" s="368">
        <v>3120</v>
      </c>
      <c r="K195" s="41">
        <f t="shared" si="390"/>
        <v>3809.83</v>
      </c>
      <c r="L195" s="41">
        <f t="shared" si="391"/>
        <v>3809.83</v>
      </c>
      <c r="M195" s="71">
        <f t="shared" si="396"/>
        <v>2337.23</v>
      </c>
      <c r="N195" s="71">
        <f t="shared" si="392"/>
        <v>419.08</v>
      </c>
      <c r="O195" s="71">
        <f>M195+N195</f>
        <v>2756.31</v>
      </c>
      <c r="P195" s="71">
        <f t="shared" si="397"/>
        <v>1066.75</v>
      </c>
      <c r="Q195" s="71">
        <f t="shared" si="259"/>
        <v>10.999965877742577</v>
      </c>
      <c r="R195" s="71">
        <f t="shared" si="260"/>
        <v>72.347322583947317</v>
      </c>
      <c r="S195" s="39">
        <f t="shared" si="261"/>
        <v>27.99993700506322</v>
      </c>
      <c r="T195" s="34">
        <f t="shared" si="232"/>
        <v>2743.08</v>
      </c>
      <c r="Y195" s="237">
        <f t="shared" si="225"/>
        <v>0.72347322583947316</v>
      </c>
    </row>
    <row r="196" spans="1:25" customFormat="1" ht="12.75" x14ac:dyDescent="0.2">
      <c r="A196" s="47" t="s">
        <v>485</v>
      </c>
      <c r="B196" s="63"/>
      <c r="C196" s="47" t="s">
        <v>486</v>
      </c>
      <c r="D196" s="49"/>
      <c r="E196" s="364" t="s">
        <v>46</v>
      </c>
      <c r="F196" s="365"/>
      <c r="G196" s="365"/>
      <c r="H196" s="365"/>
      <c r="I196" s="365"/>
      <c r="J196" s="50" t="s">
        <v>46</v>
      </c>
      <c r="K196" s="64"/>
      <c r="L196" s="73">
        <f>L197</f>
        <v>13798.4</v>
      </c>
      <c r="M196" s="73">
        <f t="shared" ref="M196:P196" si="398">M197</f>
        <v>6899.2</v>
      </c>
      <c r="N196" s="73">
        <f t="shared" si="398"/>
        <v>0</v>
      </c>
      <c r="O196" s="73">
        <f t="shared" si="398"/>
        <v>6899.2</v>
      </c>
      <c r="P196" s="73">
        <f t="shared" si="398"/>
        <v>6899.2</v>
      </c>
      <c r="Q196" s="73">
        <f t="shared" si="259"/>
        <v>0</v>
      </c>
      <c r="R196" s="73">
        <f t="shared" si="260"/>
        <v>50</v>
      </c>
      <c r="S196" s="53">
        <f t="shared" si="261"/>
        <v>50</v>
      </c>
      <c r="T196" s="34">
        <f t="shared" si="232"/>
        <v>6899.2</v>
      </c>
      <c r="Y196" s="237">
        <f t="shared" si="225"/>
        <v>0.5</v>
      </c>
    </row>
    <row r="197" spans="1:25" customFormat="1" ht="12.75" x14ac:dyDescent="0.2">
      <c r="A197" s="42" t="s">
        <v>487</v>
      </c>
      <c r="B197" s="42"/>
      <c r="C197" s="42" t="s">
        <v>488</v>
      </c>
      <c r="D197" s="40" t="s">
        <v>216</v>
      </c>
      <c r="E197" s="363">
        <v>1</v>
      </c>
      <c r="F197" s="103">
        <v>0.5</v>
      </c>
      <c r="G197" s="103"/>
      <c r="H197" s="103">
        <f t="shared" si="394"/>
        <v>0.5</v>
      </c>
      <c r="I197" s="368">
        <f t="shared" ref="I197" si="399">ROUND(E197-H197,2)</f>
        <v>0.5</v>
      </c>
      <c r="J197" s="368">
        <v>11299.98</v>
      </c>
      <c r="K197" s="41">
        <f>TRUNC(J197*1.2211,2)</f>
        <v>13798.4</v>
      </c>
      <c r="L197" s="41">
        <f>TRUNC(E197*K197,2)</f>
        <v>13798.4</v>
      </c>
      <c r="M197" s="71">
        <f t="shared" ref="M197" si="400">ROUND(F197*$K197,2)</f>
        <v>6899.2</v>
      </c>
      <c r="N197" s="71">
        <f t="shared" ref="N197" si="401">ROUND(G197*$K197,2)</f>
        <v>0</v>
      </c>
      <c r="O197" s="71">
        <f t="shared" ref="O197" si="402">ROUND(H197*$K197,2)</f>
        <v>6899.2</v>
      </c>
      <c r="P197" s="71">
        <f t="shared" ref="P197" si="403">ROUND(I197*$K197,2)</f>
        <v>6899.2</v>
      </c>
      <c r="Q197" s="71">
        <f t="shared" si="259"/>
        <v>0</v>
      </c>
      <c r="R197" s="71">
        <f t="shared" si="260"/>
        <v>50</v>
      </c>
      <c r="S197" s="39">
        <f t="shared" si="261"/>
        <v>50</v>
      </c>
      <c r="T197" s="34">
        <f t="shared" si="232"/>
        <v>6899.2</v>
      </c>
      <c r="U197" s="78">
        <f>N12-N191</f>
        <v>1324826.55</v>
      </c>
      <c r="Y197" s="237">
        <f t="shared" si="225"/>
        <v>0.5</v>
      </c>
    </row>
    <row r="198" spans="1:25" customFormat="1" ht="12.75" x14ac:dyDescent="0.2">
      <c r="A198" s="98" t="s">
        <v>489</v>
      </c>
      <c r="B198" s="61"/>
      <c r="C198" s="54" t="s">
        <v>490</v>
      </c>
      <c r="D198" s="56"/>
      <c r="E198" s="366"/>
      <c r="F198" s="367"/>
      <c r="G198" s="367"/>
      <c r="H198" s="367"/>
      <c r="I198" s="367"/>
      <c r="J198" s="57"/>
      <c r="K198" s="62"/>
      <c r="L198" s="72">
        <f>L199+L203</f>
        <v>2983569.2499999995</v>
      </c>
      <c r="M198" s="72">
        <f t="shared" ref="M198:P198" si="404">M199+M203</f>
        <v>1405610.6500000001</v>
      </c>
      <c r="N198" s="72">
        <f t="shared" si="404"/>
        <v>733352.02</v>
      </c>
      <c r="O198" s="72">
        <f t="shared" si="404"/>
        <v>2138962.67</v>
      </c>
      <c r="P198" s="72">
        <f t="shared" si="404"/>
        <v>844639.5</v>
      </c>
      <c r="Q198" s="72">
        <f t="shared" si="259"/>
        <v>24.579688237502786</v>
      </c>
      <c r="R198" s="72">
        <f t="shared" si="260"/>
        <v>71.691403509404054</v>
      </c>
      <c r="S198" s="60">
        <f t="shared" si="261"/>
        <v>28.309699867030076</v>
      </c>
      <c r="T198" s="34"/>
      <c r="Y198" s="237">
        <f t="shared" si="225"/>
        <v>0.7169140350940405</v>
      </c>
    </row>
    <row r="199" spans="1:25" customFormat="1" ht="12.75" x14ac:dyDescent="0.2">
      <c r="A199" s="47" t="s">
        <v>491</v>
      </c>
      <c r="B199" s="63"/>
      <c r="C199" s="47" t="s">
        <v>492</v>
      </c>
      <c r="D199" s="49"/>
      <c r="E199" s="364"/>
      <c r="F199" s="365"/>
      <c r="G199" s="365"/>
      <c r="H199" s="365"/>
      <c r="I199" s="365"/>
      <c r="J199" s="50"/>
      <c r="K199" s="64"/>
      <c r="L199" s="73">
        <f>SUM(L200:L202)</f>
        <v>2813004.3899999997</v>
      </c>
      <c r="M199" s="73">
        <f t="shared" ref="M199:P199" si="405">SUM(M200:M202)</f>
        <v>1325726.31</v>
      </c>
      <c r="N199" s="73">
        <f t="shared" si="405"/>
        <v>690964.65</v>
      </c>
      <c r="O199" s="73">
        <f t="shared" si="405"/>
        <v>2016690.95</v>
      </c>
      <c r="P199" s="73">
        <f t="shared" si="405"/>
        <v>796344.48</v>
      </c>
      <c r="Q199" s="73">
        <f t="shared" si="259"/>
        <v>24.563226863645244</v>
      </c>
      <c r="R199" s="73">
        <f t="shared" si="260"/>
        <v>71.691710015425897</v>
      </c>
      <c r="S199" s="73">
        <f t="shared" si="261"/>
        <v>28.309393431127923</v>
      </c>
      <c r="T199" s="34"/>
      <c r="Y199" s="237">
        <f t="shared" si="225"/>
        <v>0.71691710015425902</v>
      </c>
    </row>
    <row r="200" spans="1:25" customFormat="1" ht="25.5" x14ac:dyDescent="0.2">
      <c r="A200" s="345" t="s">
        <v>493</v>
      </c>
      <c r="B200" s="42"/>
      <c r="C200" s="42" t="s">
        <v>494</v>
      </c>
      <c r="D200" s="40" t="s">
        <v>495</v>
      </c>
      <c r="E200" s="363">
        <v>72.91</v>
      </c>
      <c r="F200" s="103">
        <v>68.23160639999999</v>
      </c>
      <c r="G200" s="103">
        <f>'PAVIMENTAÇÃO  - BM 15 CT'!E68</f>
        <v>0</v>
      </c>
      <c r="H200" s="371">
        <f t="shared" ref="H200:H202" si="406">F200+G200</f>
        <v>68.23160639999999</v>
      </c>
      <c r="I200" s="368">
        <f t="shared" ref="I200:I202" si="407">ROUND(E200-H200,2)</f>
        <v>4.68</v>
      </c>
      <c r="J200" s="368"/>
      <c r="K200" s="41">
        <v>5054.26</v>
      </c>
      <c r="L200" s="41">
        <f>TRUNC(E200*K200,2)</f>
        <v>368506.09</v>
      </c>
      <c r="M200" s="71">
        <f t="shared" ref="M200:P202" si="408">ROUND(F200*$K200,2)</f>
        <v>344860.28</v>
      </c>
      <c r="N200" s="71">
        <f t="shared" si="408"/>
        <v>0</v>
      </c>
      <c r="O200" s="71">
        <f t="shared" si="408"/>
        <v>344860.28</v>
      </c>
      <c r="P200" s="71">
        <f t="shared" si="408"/>
        <v>23653.94</v>
      </c>
      <c r="Q200" s="71">
        <f t="shared" si="259"/>
        <v>0</v>
      </c>
      <c r="R200" s="71">
        <f t="shared" si="260"/>
        <v>93.583332639088809</v>
      </c>
      <c r="S200" s="39">
        <f t="shared" si="261"/>
        <v>6.4188735659701024</v>
      </c>
      <c r="T200" s="34"/>
      <c r="U200" s="78">
        <f>L207-L192</f>
        <v>12047921.260000002</v>
      </c>
      <c r="Y200" s="237">
        <f t="shared" si="225"/>
        <v>0.93583332639088812</v>
      </c>
    </row>
    <row r="201" spans="1:25" customFormat="1" ht="25.5" x14ac:dyDescent="0.2">
      <c r="A201" s="345" t="s">
        <v>496</v>
      </c>
      <c r="B201" s="42"/>
      <c r="C201" s="42" t="s">
        <v>497</v>
      </c>
      <c r="D201" s="40" t="s">
        <v>295</v>
      </c>
      <c r="E201" s="363">
        <v>25406.33</v>
      </c>
      <c r="F201" s="103">
        <v>0</v>
      </c>
      <c r="G201" s="103">
        <f>'PAVIMENTAÇÃO  - BM 15 CT'!P40*1000</f>
        <v>16800</v>
      </c>
      <c r="H201" s="371">
        <f t="shared" si="406"/>
        <v>16800</v>
      </c>
      <c r="I201" s="368">
        <f t="shared" si="407"/>
        <v>8606.33</v>
      </c>
      <c r="J201" s="368"/>
      <c r="K201" s="41">
        <v>4.2300000000000004</v>
      </c>
      <c r="L201" s="41">
        <f t="shared" ref="L201:L202" si="409">TRUNC(E201*K201,2)</f>
        <v>107468.77</v>
      </c>
      <c r="M201" s="71">
        <f t="shared" si="408"/>
        <v>0</v>
      </c>
      <c r="N201" s="71">
        <f t="shared" si="408"/>
        <v>71064</v>
      </c>
      <c r="O201" s="71">
        <f t="shared" si="408"/>
        <v>71064</v>
      </c>
      <c r="P201" s="71">
        <f t="shared" si="408"/>
        <v>36404.78</v>
      </c>
      <c r="Q201" s="71">
        <f t="shared" si="259"/>
        <v>66.125256667588175</v>
      </c>
      <c r="R201" s="71">
        <f t="shared" si="260"/>
        <v>66.125256667588175</v>
      </c>
      <c r="S201" s="39">
        <f t="shared" si="261"/>
        <v>33.874752637440622</v>
      </c>
      <c r="T201" s="34"/>
      <c r="Y201" s="237">
        <f t="shared" si="225"/>
        <v>0.66125256667588173</v>
      </c>
    </row>
    <row r="202" spans="1:25" customFormat="1" ht="25.5" x14ac:dyDescent="0.2">
      <c r="A202" s="345" t="s">
        <v>498</v>
      </c>
      <c r="B202" s="42"/>
      <c r="C202" s="42" t="s">
        <v>499</v>
      </c>
      <c r="D202" s="40" t="s">
        <v>495</v>
      </c>
      <c r="E202" s="363">
        <v>456.02</v>
      </c>
      <c r="F202" s="103">
        <v>191.39446799999996</v>
      </c>
      <c r="G202" s="103">
        <f>'PAVIMENTAÇÃO  - BM 15 CT'!Q45</f>
        <v>120.96</v>
      </c>
      <c r="H202" s="371">
        <f t="shared" si="406"/>
        <v>312.35446799999994</v>
      </c>
      <c r="I202" s="368">
        <f t="shared" si="407"/>
        <v>143.66999999999999</v>
      </c>
      <c r="J202" s="368"/>
      <c r="K202" s="41">
        <v>5124.84</v>
      </c>
      <c r="L202" s="41">
        <f t="shared" si="409"/>
        <v>2337029.5299999998</v>
      </c>
      <c r="M202" s="71">
        <f t="shared" si="408"/>
        <v>980866.03</v>
      </c>
      <c r="N202" s="71">
        <f t="shared" si="408"/>
        <v>619900.65</v>
      </c>
      <c r="O202" s="71">
        <f t="shared" si="408"/>
        <v>1600766.67</v>
      </c>
      <c r="P202" s="71">
        <f t="shared" si="408"/>
        <v>736285.76</v>
      </c>
      <c r="Q202" s="71">
        <f t="shared" si="259"/>
        <v>26.525152636817563</v>
      </c>
      <c r="R202" s="71">
        <f t="shared" si="260"/>
        <v>68.495782764028661</v>
      </c>
      <c r="S202" s="39">
        <f t="shared" si="261"/>
        <v>31.50519711233602</v>
      </c>
      <c r="T202" s="34"/>
      <c r="Y202" s="237">
        <f t="shared" si="225"/>
        <v>0.68495782764028668</v>
      </c>
    </row>
    <row r="203" spans="1:25" customFormat="1" ht="12.75" x14ac:dyDescent="0.2">
      <c r="A203" s="47" t="s">
        <v>500</v>
      </c>
      <c r="B203" s="63"/>
      <c r="C203" s="47" t="s">
        <v>501</v>
      </c>
      <c r="D203" s="49"/>
      <c r="E203" s="364"/>
      <c r="F203" s="365"/>
      <c r="G203" s="365"/>
      <c r="H203" s="365"/>
      <c r="I203" s="365"/>
      <c r="J203" s="50"/>
      <c r="K203" s="64"/>
      <c r="L203" s="73">
        <f>SUM(L204:L206)</f>
        <v>170564.86000000002</v>
      </c>
      <c r="M203" s="73">
        <f t="shared" ref="M203:P203" si="410">SUM(M204:M206)</f>
        <v>79884.34</v>
      </c>
      <c r="N203" s="73">
        <f t="shared" si="410"/>
        <v>42387.37</v>
      </c>
      <c r="O203" s="73">
        <f t="shared" si="410"/>
        <v>122271.72</v>
      </c>
      <c r="P203" s="73">
        <f t="shared" si="410"/>
        <v>48295.02</v>
      </c>
      <c r="Q203" s="73">
        <f t="shared" si="259"/>
        <v>24.851173917065918</v>
      </c>
      <c r="R203" s="73">
        <f t="shared" si="260"/>
        <v>71.686348524543675</v>
      </c>
      <c r="S203" s="73">
        <f t="shared" si="261"/>
        <v>28.314753695456375</v>
      </c>
      <c r="T203" s="34"/>
      <c r="Y203" s="237">
        <f t="shared" si="225"/>
        <v>0.71686348524543675</v>
      </c>
    </row>
    <row r="204" spans="1:25" customFormat="1" ht="12.75" x14ac:dyDescent="0.2">
      <c r="A204" s="42" t="s">
        <v>502</v>
      </c>
      <c r="B204" s="42"/>
      <c r="C204" s="42" t="s">
        <v>503</v>
      </c>
      <c r="D204" s="40" t="s">
        <v>495</v>
      </c>
      <c r="E204" s="363">
        <v>72.91</v>
      </c>
      <c r="F204" s="103">
        <v>68.23160639999999</v>
      </c>
      <c r="G204" s="103">
        <f>G200</f>
        <v>0</v>
      </c>
      <c r="H204" s="371">
        <f t="shared" ref="H204" si="411">F204+G204</f>
        <v>68.23160639999999</v>
      </c>
      <c r="I204" s="368">
        <f t="shared" ref="I204" si="412">ROUND(E204-H204,2)</f>
        <v>4.68</v>
      </c>
      <c r="J204" s="368"/>
      <c r="K204" s="41">
        <v>307.69</v>
      </c>
      <c r="L204" s="41">
        <f t="shared" ref="L204" si="413">TRUNC(E204*K204,2)</f>
        <v>22433.67</v>
      </c>
      <c r="M204" s="71">
        <f t="shared" ref="M204" si="414">ROUND(F204*$K204,2)</f>
        <v>20994.18</v>
      </c>
      <c r="N204" s="71">
        <f t="shared" ref="N204" si="415">ROUND(G204*$K204,2)</f>
        <v>0</v>
      </c>
      <c r="O204" s="71">
        <f t="shared" ref="O204" si="416">ROUND(H204*$K204,2)</f>
        <v>20994.18</v>
      </c>
      <c r="P204" s="71">
        <f t="shared" ref="P204" si="417">ROUND(I204*$K204,2)</f>
        <v>1439.99</v>
      </c>
      <c r="Q204" s="71">
        <f t="shared" si="259"/>
        <v>0</v>
      </c>
      <c r="R204" s="71">
        <f t="shared" si="260"/>
        <v>93.583350383597519</v>
      </c>
      <c r="S204" s="39">
        <f t="shared" si="261"/>
        <v>6.4188784091055995</v>
      </c>
      <c r="T204" s="34"/>
      <c r="Y204" s="237">
        <f t="shared" si="225"/>
        <v>0.93583350383597519</v>
      </c>
    </row>
    <row r="205" spans="1:25" customFormat="1" ht="12.75" x14ac:dyDescent="0.2">
      <c r="A205" s="42" t="s">
        <v>504</v>
      </c>
      <c r="B205" s="42"/>
      <c r="C205" s="42" t="s">
        <v>505</v>
      </c>
      <c r="D205" s="40" t="s">
        <v>495</v>
      </c>
      <c r="E205" s="363">
        <v>25.41</v>
      </c>
      <c r="F205" s="103">
        <v>0</v>
      </c>
      <c r="G205" s="103">
        <f>'PAVIMENTAÇÃO  - BM 15 CT'!Q39</f>
        <v>16.8</v>
      </c>
      <c r="H205" s="371">
        <f t="shared" ref="H205:H206" si="418">F205+G205</f>
        <v>16.8</v>
      </c>
      <c r="I205" s="368">
        <f t="shared" ref="I205:I206" si="419">ROUND(E205-H205,2)</f>
        <v>8.61</v>
      </c>
      <c r="J205" s="368"/>
      <c r="K205" s="41">
        <v>307.69</v>
      </c>
      <c r="L205" s="41">
        <f t="shared" ref="L205:L206" si="420">TRUNC(E205*K205,2)</f>
        <v>7818.4</v>
      </c>
      <c r="M205" s="71">
        <f t="shared" ref="M205:M206" si="421">ROUND(F205*$K205,2)</f>
        <v>0</v>
      </c>
      <c r="N205" s="71">
        <f t="shared" ref="N205:N206" si="422">ROUND(G205*$K205,2)</f>
        <v>5169.1899999999996</v>
      </c>
      <c r="O205" s="71">
        <f t="shared" ref="O205:O206" si="423">ROUND(H205*$K205,2)</f>
        <v>5169.1899999999996</v>
      </c>
      <c r="P205" s="71">
        <f t="shared" ref="P205:P206" si="424">ROUND(I205*$K205,2)</f>
        <v>2649.21</v>
      </c>
      <c r="Q205" s="71">
        <f t="shared" si="259"/>
        <v>66.115701422285895</v>
      </c>
      <c r="R205" s="71">
        <f t="shared" si="260"/>
        <v>66.115701422285895</v>
      </c>
      <c r="S205" s="39">
        <f t="shared" si="261"/>
        <v>33.884298577714112</v>
      </c>
      <c r="T205" s="34"/>
      <c r="Y205" s="237">
        <f t="shared" ref="Y205:Y207" si="425">O205/L205</f>
        <v>0.66115701422285889</v>
      </c>
    </row>
    <row r="206" spans="1:25" customFormat="1" ht="12.75" x14ac:dyDescent="0.2">
      <c r="A206" s="42" t="s">
        <v>506</v>
      </c>
      <c r="B206" s="42"/>
      <c r="C206" s="42" t="s">
        <v>507</v>
      </c>
      <c r="D206" s="40" t="s">
        <v>495</v>
      </c>
      <c r="E206" s="363">
        <v>456.02</v>
      </c>
      <c r="F206" s="103">
        <v>191.39446799999996</v>
      </c>
      <c r="G206" s="103">
        <f>G202</f>
        <v>120.96</v>
      </c>
      <c r="H206" s="371">
        <f t="shared" si="418"/>
        <v>312.35446799999994</v>
      </c>
      <c r="I206" s="368">
        <f t="shared" si="419"/>
        <v>143.66999999999999</v>
      </c>
      <c r="J206" s="368"/>
      <c r="K206" s="41">
        <v>307.69</v>
      </c>
      <c r="L206" s="41">
        <f t="shared" si="420"/>
        <v>140312.79</v>
      </c>
      <c r="M206" s="71">
        <f t="shared" si="421"/>
        <v>58890.16</v>
      </c>
      <c r="N206" s="71">
        <f t="shared" si="422"/>
        <v>37218.18</v>
      </c>
      <c r="O206" s="71">
        <f t="shared" si="423"/>
        <v>96108.35</v>
      </c>
      <c r="P206" s="71">
        <f t="shared" si="424"/>
        <v>44205.82</v>
      </c>
      <c r="Q206" s="71">
        <f t="shared" si="259"/>
        <v>26.525151413495518</v>
      </c>
      <c r="R206" s="71">
        <f t="shared" si="260"/>
        <v>68.495787162381987</v>
      </c>
      <c r="S206" s="39">
        <f t="shared" si="261"/>
        <v>31.505196354516219</v>
      </c>
      <c r="T206" s="34"/>
      <c r="Y206" s="237">
        <f t="shared" si="425"/>
        <v>0.68495787162381994</v>
      </c>
    </row>
    <row r="207" spans="1:25" s="6" customFormat="1" ht="12.75" x14ac:dyDescent="0.2">
      <c r="A207" s="384"/>
      <c r="B207" s="385"/>
      <c r="C207" s="386" t="s">
        <v>22</v>
      </c>
      <c r="D207" s="387"/>
      <c r="E207" s="387"/>
      <c r="F207" s="387"/>
      <c r="G207" s="387"/>
      <c r="H207" s="387"/>
      <c r="I207" s="387"/>
      <c r="J207" s="387"/>
      <c r="K207" s="416"/>
      <c r="L207" s="75">
        <f>L13+L23+L49+L61+L126+L159+L174+L191+L198</f>
        <v>12288206.050000001</v>
      </c>
      <c r="M207" s="75">
        <f t="shared" ref="M207:P207" si="426">M13+M23+M49+M61+M126+M159+M174+M191+M198</f>
        <v>7549538.0399999991</v>
      </c>
      <c r="N207" s="75">
        <f>N13+N23+N49+N61+N126+N159+N174+N191+N198</f>
        <v>1351257.87</v>
      </c>
      <c r="O207" s="75">
        <f>O13+O23+O49+O61+O126+O159+O174+O191+O198</f>
        <v>8900795.8899999987</v>
      </c>
      <c r="P207" s="75">
        <f t="shared" si="426"/>
        <v>3388266.13</v>
      </c>
      <c r="Q207" s="75">
        <f t="shared" si="259"/>
        <v>10.996380305650881</v>
      </c>
      <c r="R207" s="75">
        <f t="shared" si="260"/>
        <v>72.433647790272843</v>
      </c>
      <c r="S207" s="75">
        <f t="shared" si="261"/>
        <v>27.573317994614843</v>
      </c>
      <c r="T207" s="34">
        <f t="shared" si="232"/>
        <v>8899939.9200000018</v>
      </c>
      <c r="Y207" s="237">
        <f t="shared" si="425"/>
        <v>0.72433647790272837</v>
      </c>
    </row>
    <row r="208" spans="1:25" ht="18" customHeight="1" x14ac:dyDescent="0.2">
      <c r="A208" s="373"/>
      <c r="B208" s="374"/>
      <c r="C208" s="374"/>
      <c r="D208" s="374"/>
      <c r="E208" s="374"/>
      <c r="F208" s="374"/>
      <c r="G208" s="374"/>
      <c r="H208" s="374"/>
      <c r="I208" s="374"/>
      <c r="J208" s="374"/>
      <c r="K208" s="374"/>
      <c r="L208" s="374"/>
      <c r="M208" s="374"/>
      <c r="N208" s="374"/>
      <c r="O208" s="374"/>
      <c r="P208" s="374"/>
      <c r="Q208" s="374"/>
      <c r="R208" s="374"/>
      <c r="S208" s="375"/>
    </row>
    <row r="213" spans="10:10" ht="12.75" x14ac:dyDescent="0.2">
      <c r="J213" s="5"/>
    </row>
  </sheetData>
  <autoFilter ref="A11:T208" xr:uid="{00000000-0001-0000-0000-000000000000}"/>
  <mergeCells count="16">
    <mergeCell ref="Q10:S10"/>
    <mergeCell ref="A10:A11"/>
    <mergeCell ref="U10:V10"/>
    <mergeCell ref="A208:S208"/>
    <mergeCell ref="A2:C3"/>
    <mergeCell ref="A7:S7"/>
    <mergeCell ref="C207:K207"/>
    <mergeCell ref="A5:J5"/>
    <mergeCell ref="B60:C60"/>
    <mergeCell ref="A207:B207"/>
    <mergeCell ref="E10:I10"/>
    <mergeCell ref="D10:D11"/>
    <mergeCell ref="K10:K11"/>
    <mergeCell ref="C10:C11"/>
    <mergeCell ref="B10:B11"/>
    <mergeCell ref="L10:P10"/>
  </mergeCells>
  <phoneticPr fontId="12" type="noConversion"/>
  <conditionalFormatting sqref="I13:I206">
    <cfRule type="cellIs" dxfId="14" priority="1" operator="lessThan">
      <formula>0</formula>
    </cfRule>
  </conditionalFormatting>
  <printOptions horizontalCentered="1"/>
  <pageMargins left="0.39370078740157483" right="0.39370078740157483" top="0.59055118110236227" bottom="0.78740157480314965" header="0.31496062992125984" footer="0.31496062992125984"/>
  <pageSetup paperSize="9" scale="38" fitToHeight="18" orientation="landscape" r:id="rId1"/>
  <rowBreaks count="3" manualBreakCount="3">
    <brk id="60" max="18" man="1"/>
    <brk id="103" max="18" man="1"/>
    <brk id="158" max="1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614B2-1D8C-46D2-A706-708E39A77CB8}">
  <sheetPr>
    <tabColor rgb="FF00B050"/>
    <pageSetUpPr fitToPage="1"/>
  </sheetPr>
  <dimension ref="A1:S69"/>
  <sheetViews>
    <sheetView view="pageBreakPreview" topLeftCell="A38" zoomScaleNormal="100" zoomScaleSheetLayoutView="100" workbookViewId="0">
      <selection activeCell="I61" sqref="I61:P61"/>
    </sheetView>
  </sheetViews>
  <sheetFormatPr defaultRowHeight="12.75" outlineLevelRow="1" x14ac:dyDescent="0.2"/>
  <cols>
    <col min="1" max="1" width="46.5" style="152" customWidth="1"/>
    <col min="2" max="2" width="9.83203125" style="152" customWidth="1"/>
    <col min="3" max="3" width="10.6640625" style="152" customWidth="1"/>
    <col min="4" max="4" width="10.1640625" style="152" customWidth="1"/>
    <col min="5" max="5" width="10.5" style="152" customWidth="1"/>
    <col min="6" max="6" width="6.5" style="152" customWidth="1"/>
    <col min="7" max="7" width="10.6640625" style="152" customWidth="1"/>
    <col min="8" max="8" width="9.83203125" style="152" customWidth="1"/>
    <col min="9" max="9" width="13" style="152" customWidth="1"/>
    <col min="10" max="10" width="10.6640625" style="152" customWidth="1"/>
    <col min="11" max="11" width="10.5" style="152" customWidth="1"/>
    <col min="12" max="12" width="8.5" style="152" customWidth="1"/>
    <col min="13" max="13" width="12.33203125" style="152" customWidth="1"/>
    <col min="14" max="14" width="7.33203125" style="152" customWidth="1"/>
    <col min="15" max="15" width="6.5" style="152" customWidth="1"/>
    <col min="16" max="16" width="10.1640625" style="152" customWidth="1"/>
    <col min="17" max="17" width="15.5" style="152" customWidth="1"/>
    <col min="18" max="18" width="22.83203125" style="152" customWidth="1"/>
    <col min="19" max="19" width="20.5" style="152" customWidth="1"/>
    <col min="20" max="16384" width="9.33203125" style="152"/>
  </cols>
  <sheetData>
    <row r="1" spans="1:19" ht="12" customHeight="1" x14ac:dyDescent="0.2">
      <c r="A1" s="432" t="s">
        <v>550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4"/>
      <c r="S1" s="284"/>
    </row>
    <row r="2" spans="1:19" ht="12.2" customHeight="1" x14ac:dyDescent="0.2">
      <c r="A2" s="435" t="s">
        <v>551</v>
      </c>
      <c r="B2" s="438" t="s">
        <v>552</v>
      </c>
      <c r="C2" s="439"/>
      <c r="D2" s="439"/>
      <c r="E2" s="439"/>
      <c r="F2" s="440"/>
      <c r="G2" s="441" t="s">
        <v>553</v>
      </c>
      <c r="H2" s="441" t="s">
        <v>554</v>
      </c>
      <c r="I2" s="441" t="s">
        <v>555</v>
      </c>
      <c r="J2" s="444" t="s">
        <v>556</v>
      </c>
      <c r="K2" s="447" t="s">
        <v>557</v>
      </c>
      <c r="L2" s="447" t="s">
        <v>558</v>
      </c>
      <c r="M2" s="447" t="s">
        <v>559</v>
      </c>
      <c r="N2" s="425" t="s">
        <v>560</v>
      </c>
      <c r="O2" s="426"/>
      <c r="P2" s="429" t="s">
        <v>561</v>
      </c>
      <c r="Q2" s="447" t="s">
        <v>562</v>
      </c>
    </row>
    <row r="3" spans="1:19" ht="15.75" customHeight="1" x14ac:dyDescent="0.2">
      <c r="A3" s="436"/>
      <c r="B3" s="438" t="s">
        <v>563</v>
      </c>
      <c r="C3" s="439"/>
      <c r="D3" s="439"/>
      <c r="E3" s="440"/>
      <c r="F3" s="450" t="s">
        <v>564</v>
      </c>
      <c r="G3" s="442"/>
      <c r="H3" s="442"/>
      <c r="I3" s="442"/>
      <c r="J3" s="445"/>
      <c r="K3" s="448"/>
      <c r="L3" s="448"/>
      <c r="M3" s="448"/>
      <c r="N3" s="427"/>
      <c r="O3" s="428"/>
      <c r="P3" s="430"/>
      <c r="Q3" s="448"/>
    </row>
    <row r="4" spans="1:19" ht="12.2" customHeight="1" x14ac:dyDescent="0.2">
      <c r="A4" s="437"/>
      <c r="B4" s="451" t="s">
        <v>565</v>
      </c>
      <c r="C4" s="452"/>
      <c r="D4" s="438" t="s">
        <v>566</v>
      </c>
      <c r="E4" s="440"/>
      <c r="F4" s="421"/>
      <c r="G4" s="443"/>
      <c r="H4" s="443"/>
      <c r="I4" s="443"/>
      <c r="J4" s="446"/>
      <c r="K4" s="449"/>
      <c r="L4" s="449"/>
      <c r="M4" s="449"/>
      <c r="N4" s="238" t="s">
        <v>567</v>
      </c>
      <c r="O4" s="238" t="s">
        <v>568</v>
      </c>
      <c r="P4" s="431"/>
      <c r="Q4" s="449"/>
    </row>
    <row r="5" spans="1:19" ht="9.75" customHeight="1" outlineLevel="1" x14ac:dyDescent="0.2">
      <c r="A5" s="239" t="s">
        <v>569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1" t="s">
        <v>570</v>
      </c>
      <c r="Q5" s="242">
        <f>SUM(J6:J9)</f>
        <v>4049.03</v>
      </c>
    </row>
    <row r="6" spans="1:19" ht="13.5" customHeight="1" outlineLevel="1" x14ac:dyDescent="0.2">
      <c r="A6" s="243" t="s">
        <v>571</v>
      </c>
      <c r="B6" s="244"/>
      <c r="C6" s="244"/>
      <c r="D6" s="244"/>
      <c r="E6" s="245"/>
      <c r="F6" s="244"/>
      <c r="G6" s="246">
        <f>((D6*20)+E6)-((B6*20)+C6)</f>
        <v>0</v>
      </c>
      <c r="H6" s="247">
        <v>10.1</v>
      </c>
      <c r="I6" s="247"/>
      <c r="J6" s="246">
        <f>G6*H6</f>
        <v>0</v>
      </c>
      <c r="K6" s="247"/>
      <c r="L6" s="247"/>
      <c r="M6" s="247"/>
      <c r="N6" s="247"/>
      <c r="O6" s="247"/>
      <c r="P6" s="247"/>
      <c r="Q6" s="247"/>
    </row>
    <row r="7" spans="1:19" ht="11.25" customHeight="1" outlineLevel="1" x14ac:dyDescent="0.2">
      <c r="A7" s="243" t="s">
        <v>572</v>
      </c>
      <c r="B7" s="244"/>
      <c r="C7" s="244"/>
      <c r="D7" s="244"/>
      <c r="E7" s="244"/>
      <c r="F7" s="244"/>
      <c r="G7" s="246"/>
      <c r="H7" s="247">
        <v>15.3</v>
      </c>
      <c r="I7" s="247"/>
      <c r="J7" s="246">
        <f>G7*H7</f>
        <v>0</v>
      </c>
      <c r="K7" s="247"/>
      <c r="L7" s="247"/>
      <c r="M7" s="247"/>
      <c r="N7" s="247"/>
      <c r="O7" s="247"/>
      <c r="P7" s="247"/>
      <c r="Q7" s="247"/>
    </row>
    <row r="8" spans="1:19" ht="11.25" customHeight="1" outlineLevel="1" x14ac:dyDescent="0.2">
      <c r="A8" s="243" t="s">
        <v>573</v>
      </c>
      <c r="B8" s="244"/>
      <c r="C8" s="244"/>
      <c r="D8" s="244"/>
      <c r="E8" s="244"/>
      <c r="F8" s="244"/>
      <c r="G8" s="244"/>
      <c r="H8" s="247"/>
      <c r="I8" s="247"/>
      <c r="J8" s="246">
        <v>4049.03</v>
      </c>
      <c r="K8" s="247"/>
      <c r="L8" s="247"/>
      <c r="M8" s="247"/>
      <c r="N8" s="247"/>
      <c r="O8" s="247"/>
      <c r="P8" s="247"/>
      <c r="Q8" s="247"/>
    </row>
    <row r="9" spans="1:19" ht="11.25" customHeight="1" outlineLevel="1" x14ac:dyDescent="0.2">
      <c r="A9" s="243" t="s">
        <v>574</v>
      </c>
      <c r="B9" s="244"/>
      <c r="C9" s="244"/>
      <c r="D9" s="244"/>
      <c r="E9" s="244"/>
      <c r="F9" s="244"/>
      <c r="G9" s="246">
        <f>((D9*20)+E9)-((B9*20)+C9)</f>
        <v>0</v>
      </c>
      <c r="H9" s="247">
        <v>10.8</v>
      </c>
      <c r="I9" s="247"/>
      <c r="J9" s="246">
        <f>G9*H9</f>
        <v>0</v>
      </c>
      <c r="K9" s="247"/>
      <c r="L9" s="247"/>
      <c r="M9" s="247"/>
      <c r="N9" s="247"/>
      <c r="O9" s="247"/>
      <c r="P9" s="247"/>
      <c r="Q9" s="247"/>
    </row>
    <row r="10" spans="1:19" ht="12.75" customHeight="1" outlineLevel="1" x14ac:dyDescent="0.2">
      <c r="A10" s="248" t="s">
        <v>575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71">
        <f>SUM(K11:K14)</f>
        <v>1295.6896000000002</v>
      </c>
      <c r="L10" s="271"/>
      <c r="M10" s="271">
        <f>SUM(M11:M14)</f>
        <v>13701.917520000001</v>
      </c>
      <c r="N10" s="249"/>
      <c r="O10" s="249"/>
      <c r="P10" s="241" t="s">
        <v>576</v>
      </c>
      <c r="Q10" s="242">
        <f>SUM(Q11:Q14)</f>
        <v>1490.04304</v>
      </c>
    </row>
    <row r="11" spans="1:19" outlineLevel="1" x14ac:dyDescent="0.2">
      <c r="A11" s="243" t="s">
        <v>571</v>
      </c>
      <c r="B11" s="244"/>
      <c r="C11" s="244"/>
      <c r="D11" s="244"/>
      <c r="E11" s="245"/>
      <c r="F11" s="243"/>
      <c r="G11" s="246">
        <f>((D11*20)+E11)-((B11*20)+C11)</f>
        <v>0</v>
      </c>
      <c r="H11" s="244">
        <v>9.6199999999999992</v>
      </c>
      <c r="I11" s="244">
        <v>0.32</v>
      </c>
      <c r="J11" s="246">
        <f>G11*H11</f>
        <v>0</v>
      </c>
      <c r="K11" s="250">
        <f>J11*I11</f>
        <v>0</v>
      </c>
      <c r="L11" s="270">
        <v>10.25</v>
      </c>
      <c r="M11" s="270">
        <f>K11*1.5*L11</f>
        <v>0</v>
      </c>
      <c r="N11" s="243">
        <v>1.1499999999999999</v>
      </c>
      <c r="O11" s="243"/>
      <c r="P11" s="243"/>
      <c r="Q11" s="250">
        <f>K11*N11</f>
        <v>0</v>
      </c>
    </row>
    <row r="12" spans="1:19" outlineLevel="1" x14ac:dyDescent="0.2">
      <c r="A12" s="243" t="s">
        <v>572</v>
      </c>
      <c r="B12" s="244"/>
      <c r="C12" s="244"/>
      <c r="D12" s="244"/>
      <c r="E12" s="244"/>
      <c r="F12" s="243"/>
      <c r="G12" s="246">
        <f>((D12*20)+E12)-((B12*20)+C12)</f>
        <v>0</v>
      </c>
      <c r="H12" s="244">
        <v>14.82</v>
      </c>
      <c r="I12" s="244">
        <v>0.32</v>
      </c>
      <c r="J12" s="246">
        <f>G12*H12</f>
        <v>0</v>
      </c>
      <c r="K12" s="250">
        <f>J12*I12</f>
        <v>0</v>
      </c>
      <c r="L12" s="270">
        <v>10.25</v>
      </c>
      <c r="M12" s="270">
        <f t="shared" ref="M12:M14" si="0">K12*1.5*L12</f>
        <v>0</v>
      </c>
      <c r="N12" s="243">
        <v>1.1499999999999999</v>
      </c>
      <c r="O12" s="243"/>
      <c r="P12" s="243"/>
      <c r="Q12" s="250">
        <f t="shared" ref="Q12:Q14" si="1">K12*N12</f>
        <v>0</v>
      </c>
    </row>
    <row r="13" spans="1:19" outlineLevel="1" x14ac:dyDescent="0.2">
      <c r="A13" s="243" t="s">
        <v>573</v>
      </c>
      <c r="B13" s="244"/>
      <c r="C13" s="244"/>
      <c r="D13" s="244"/>
      <c r="E13" s="244"/>
      <c r="F13" s="243"/>
      <c r="G13" s="243"/>
      <c r="H13" s="244"/>
      <c r="I13" s="244">
        <v>0.32</v>
      </c>
      <c r="J13" s="246">
        <f>J8</f>
        <v>4049.03</v>
      </c>
      <c r="K13" s="250">
        <f>J13*I13</f>
        <v>1295.6896000000002</v>
      </c>
      <c r="L13" s="270">
        <v>7.05</v>
      </c>
      <c r="M13" s="270">
        <f t="shared" si="0"/>
        <v>13701.917520000001</v>
      </c>
      <c r="N13" s="243">
        <v>1.1499999999999999</v>
      </c>
      <c r="O13" s="243"/>
      <c r="P13" s="243"/>
      <c r="Q13" s="250">
        <f t="shared" si="1"/>
        <v>1490.04304</v>
      </c>
    </row>
    <row r="14" spans="1:19" outlineLevel="1" x14ac:dyDescent="0.2">
      <c r="A14" s="243" t="s">
        <v>574</v>
      </c>
      <c r="B14" s="244"/>
      <c r="C14" s="244"/>
      <c r="D14" s="244"/>
      <c r="E14" s="244"/>
      <c r="F14" s="243"/>
      <c r="G14" s="246">
        <f>((D14*20)+E14)-((B14*20)+C14)</f>
        <v>0</v>
      </c>
      <c r="H14" s="247">
        <v>10.5</v>
      </c>
      <c r="I14" s="244">
        <v>0.32</v>
      </c>
      <c r="J14" s="246">
        <f>G14*H14</f>
        <v>0</v>
      </c>
      <c r="K14" s="250">
        <f>J14*I14</f>
        <v>0</v>
      </c>
      <c r="L14" s="270">
        <v>10.25</v>
      </c>
      <c r="M14" s="270">
        <f t="shared" si="0"/>
        <v>0</v>
      </c>
      <c r="N14" s="243">
        <v>1.1499999999999999</v>
      </c>
      <c r="O14" s="243"/>
      <c r="P14" s="243"/>
      <c r="Q14" s="250">
        <f t="shared" si="1"/>
        <v>0</v>
      </c>
    </row>
    <row r="15" spans="1:19" ht="9" customHeight="1" outlineLevel="1" x14ac:dyDescent="0.2">
      <c r="A15" s="248" t="s">
        <v>577</v>
      </c>
      <c r="B15" s="252"/>
      <c r="C15" s="252"/>
      <c r="D15" s="252"/>
      <c r="E15" s="252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1" t="s">
        <v>576</v>
      </c>
      <c r="Q15" s="242">
        <f>SUM(K16:K19)</f>
        <v>728.82540000000006</v>
      </c>
    </row>
    <row r="16" spans="1:19" outlineLevel="1" x14ac:dyDescent="0.2">
      <c r="A16" s="243" t="s">
        <v>571</v>
      </c>
      <c r="B16" s="244"/>
      <c r="C16" s="244"/>
      <c r="D16" s="244"/>
      <c r="E16" s="245"/>
      <c r="F16" s="243"/>
      <c r="G16" s="246">
        <f>((D16*20)+E16)-((B16*20)+C16)</f>
        <v>0</v>
      </c>
      <c r="H16" s="247">
        <v>8.6</v>
      </c>
      <c r="I16" s="244">
        <v>0.18</v>
      </c>
      <c r="J16" s="246">
        <f>G16*H16</f>
        <v>0</v>
      </c>
      <c r="K16" s="250">
        <f>J16*I16</f>
        <v>0</v>
      </c>
      <c r="L16" s="270">
        <v>11</v>
      </c>
      <c r="M16" s="243"/>
      <c r="N16" s="243"/>
      <c r="O16" s="243"/>
      <c r="P16" s="243"/>
      <c r="Q16" s="243"/>
      <c r="R16" s="152" t="s">
        <v>578</v>
      </c>
      <c r="S16" s="152">
        <v>37088.879999999997</v>
      </c>
    </row>
    <row r="17" spans="1:19" outlineLevel="1" x14ac:dyDescent="0.2">
      <c r="A17" s="243" t="s">
        <v>572</v>
      </c>
      <c r="B17" s="244"/>
      <c r="C17" s="244"/>
      <c r="D17" s="244"/>
      <c r="E17" s="244"/>
      <c r="F17" s="243"/>
      <c r="G17" s="246">
        <f>((D17*20)+E17)-((B17*20)+C17)</f>
        <v>0</v>
      </c>
      <c r="H17" s="247">
        <v>8.6</v>
      </c>
      <c r="I17" s="244">
        <v>0.18</v>
      </c>
      <c r="J17" s="246">
        <f>G17*H17</f>
        <v>0</v>
      </c>
      <c r="K17" s="250">
        <f>J17*I17</f>
        <v>0</v>
      </c>
      <c r="L17" s="270">
        <v>11</v>
      </c>
      <c r="M17" s="243"/>
      <c r="N17" s="243"/>
      <c r="O17" s="243"/>
      <c r="P17" s="243"/>
      <c r="Q17" s="243"/>
      <c r="R17" s="152" t="s">
        <v>579</v>
      </c>
      <c r="S17" s="152">
        <v>37515.14</v>
      </c>
    </row>
    <row r="18" spans="1:19" outlineLevel="1" x14ac:dyDescent="0.2">
      <c r="A18" s="243" t="s">
        <v>573</v>
      </c>
      <c r="B18" s="244"/>
      <c r="C18" s="244"/>
      <c r="D18" s="244"/>
      <c r="E18" s="244"/>
      <c r="F18" s="243"/>
      <c r="G18" s="243"/>
      <c r="H18" s="247"/>
      <c r="I18" s="244">
        <v>0.18</v>
      </c>
      <c r="J18" s="246">
        <f>J13</f>
        <v>4049.03</v>
      </c>
      <c r="K18" s="250">
        <f>J18*I18</f>
        <v>728.82540000000006</v>
      </c>
      <c r="L18" s="270"/>
      <c r="M18" s="243"/>
      <c r="N18" s="243"/>
      <c r="O18" s="243"/>
      <c r="P18" s="243"/>
      <c r="Q18" s="243"/>
    </row>
    <row r="19" spans="1:19" outlineLevel="1" x14ac:dyDescent="0.2">
      <c r="A19" s="243" t="s">
        <v>574</v>
      </c>
      <c r="B19" s="244"/>
      <c r="C19" s="244"/>
      <c r="D19" s="244"/>
      <c r="E19" s="244"/>
      <c r="F19" s="243"/>
      <c r="G19" s="246">
        <f>((D19*20)+E19)-((B19*20)+C19)</f>
        <v>0</v>
      </c>
      <c r="H19" s="247">
        <v>10</v>
      </c>
      <c r="I19" s="244">
        <v>0.18</v>
      </c>
      <c r="J19" s="246">
        <f>G19*H19</f>
        <v>0</v>
      </c>
      <c r="K19" s="250">
        <f>J19*I19</f>
        <v>0</v>
      </c>
      <c r="L19" s="270">
        <v>11</v>
      </c>
      <c r="M19" s="243"/>
      <c r="N19" s="243"/>
      <c r="O19" s="243"/>
      <c r="P19" s="243"/>
      <c r="Q19" s="243"/>
    </row>
    <row r="20" spans="1:19" outlineLevel="1" x14ac:dyDescent="0.2">
      <c r="A20" s="279" t="s">
        <v>580</v>
      </c>
      <c r="B20" s="273"/>
      <c r="C20" s="273"/>
      <c r="D20" s="273"/>
      <c r="E20" s="273"/>
      <c r="F20" s="272"/>
      <c r="G20" s="274"/>
      <c r="H20" s="275"/>
      <c r="I20" s="273"/>
      <c r="J20" s="274"/>
      <c r="K20" s="276"/>
      <c r="L20" s="277"/>
      <c r="M20" s="272"/>
      <c r="N20" s="272"/>
      <c r="O20" s="272"/>
      <c r="P20" s="278" t="s">
        <v>77</v>
      </c>
      <c r="Q20" s="272"/>
    </row>
    <row r="21" spans="1:19" outlineLevel="1" x14ac:dyDescent="0.2">
      <c r="A21" s="243" t="s">
        <v>581</v>
      </c>
      <c r="B21" s="244"/>
      <c r="C21" s="244"/>
      <c r="D21" s="244"/>
      <c r="E21" s="244"/>
      <c r="F21" s="243"/>
      <c r="G21" s="246"/>
      <c r="H21" s="247"/>
      <c r="I21" s="244"/>
      <c r="J21" s="246"/>
      <c r="K21" s="250">
        <v>0.4</v>
      </c>
      <c r="L21" s="270">
        <v>20</v>
      </c>
      <c r="M21" s="270">
        <f>Q21*1.5*L21</f>
        <v>11806.971480000002</v>
      </c>
      <c r="N21" s="243">
        <v>1.35</v>
      </c>
      <c r="O21" s="243"/>
      <c r="P21" s="243"/>
      <c r="Q21" s="270">
        <f>Q15*K21*N21</f>
        <v>393.56571600000007</v>
      </c>
      <c r="R21" s="152">
        <v>1350.86</v>
      </c>
      <c r="S21" s="152">
        <v>41162.01</v>
      </c>
    </row>
    <row r="22" spans="1:19" outlineLevel="1" x14ac:dyDescent="0.2">
      <c r="A22" s="243" t="s">
        <v>582</v>
      </c>
      <c r="B22" s="244"/>
      <c r="C22" s="244"/>
      <c r="D22" s="244"/>
      <c r="E22" s="244"/>
      <c r="F22" s="243"/>
      <c r="G22" s="246"/>
      <c r="H22" s="247"/>
      <c r="I22" s="244"/>
      <c r="J22" s="246"/>
      <c r="K22" s="250">
        <v>0.6</v>
      </c>
      <c r="L22" s="270">
        <v>11</v>
      </c>
      <c r="M22" s="270">
        <f>Q22*1.5*L22</f>
        <v>8297.6771790000003</v>
      </c>
      <c r="N22" s="243">
        <v>1.1499999999999999</v>
      </c>
      <c r="O22" s="243"/>
      <c r="P22" s="243"/>
      <c r="Q22" s="270">
        <f>Q15*K22*N22</f>
        <v>502.88952599999999</v>
      </c>
      <c r="R22" s="152" t="s">
        <v>578</v>
      </c>
    </row>
    <row r="23" spans="1:19" ht="9" customHeight="1" x14ac:dyDescent="0.2">
      <c r="A23" s="248" t="s">
        <v>583</v>
      </c>
      <c r="B23" s="252"/>
      <c r="C23" s="252"/>
      <c r="D23" s="252"/>
      <c r="E23" s="252"/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1" t="s">
        <v>570</v>
      </c>
      <c r="Q23" s="253">
        <f>SUM(J24:J25)</f>
        <v>406</v>
      </c>
      <c r="R23" s="152" t="s">
        <v>579</v>
      </c>
      <c r="S23" s="152">
        <v>7266.37</v>
      </c>
    </row>
    <row r="24" spans="1:19" ht="9" customHeight="1" x14ac:dyDescent="0.2">
      <c r="A24" s="254" t="s">
        <v>584</v>
      </c>
      <c r="B24" s="255">
        <v>308</v>
      </c>
      <c r="C24" s="256">
        <v>0</v>
      </c>
      <c r="D24" s="255">
        <v>315</v>
      </c>
      <c r="E24" s="256">
        <v>0</v>
      </c>
      <c r="F24" s="420"/>
      <c r="G24" s="246">
        <f>((D24*20)+E24)-((B24*20)+C24)</f>
        <v>140</v>
      </c>
      <c r="H24" s="256">
        <v>2.9</v>
      </c>
      <c r="I24" s="256">
        <v>0.12</v>
      </c>
      <c r="J24" s="246">
        <f>G24*H24</f>
        <v>406</v>
      </c>
      <c r="K24" s="420"/>
      <c r="L24" s="420"/>
      <c r="M24" s="351"/>
      <c r="N24" s="420"/>
      <c r="O24" s="420"/>
      <c r="P24" s="420"/>
      <c r="Q24" s="420"/>
    </row>
    <row r="25" spans="1:19" ht="16.5" customHeight="1" x14ac:dyDescent="0.2">
      <c r="A25" s="254" t="s">
        <v>585</v>
      </c>
      <c r="B25" s="255"/>
      <c r="C25" s="256"/>
      <c r="D25" s="255"/>
      <c r="E25" s="256"/>
      <c r="F25" s="420"/>
      <c r="G25" s="246">
        <f>((D25*20)+E25)-((B25*20)+C25)</f>
        <v>0</v>
      </c>
      <c r="H25" s="256">
        <v>2.9</v>
      </c>
      <c r="I25" s="256">
        <v>0.12</v>
      </c>
      <c r="J25" s="246">
        <f>G25*H25</f>
        <v>0</v>
      </c>
      <c r="K25" s="420"/>
      <c r="L25" s="420"/>
      <c r="M25" s="351"/>
      <c r="N25" s="420"/>
      <c r="O25" s="420"/>
      <c r="P25" s="420"/>
      <c r="Q25" s="420"/>
    </row>
    <row r="26" spans="1:19" ht="12.75" customHeight="1" outlineLevel="1" x14ac:dyDescent="0.2">
      <c r="A26" s="248" t="s">
        <v>586</v>
      </c>
      <c r="B26" s="252"/>
      <c r="C26" s="252"/>
      <c r="D26" s="252"/>
      <c r="E26" s="252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1" t="s">
        <v>570</v>
      </c>
      <c r="Q26" s="253">
        <f>SUM(J27:J31)</f>
        <v>0</v>
      </c>
    </row>
    <row r="27" spans="1:19" outlineLevel="1" x14ac:dyDescent="0.2">
      <c r="A27" s="243" t="s">
        <v>571</v>
      </c>
      <c r="B27" s="244"/>
      <c r="C27" s="244"/>
      <c r="D27" s="244"/>
      <c r="E27" s="245"/>
      <c r="F27" s="243"/>
      <c r="G27" s="246">
        <f>((D27*20)+E27)-((B27*20)+C27)</f>
        <v>0</v>
      </c>
      <c r="H27" s="247">
        <v>8.6</v>
      </c>
      <c r="I27" s="243"/>
      <c r="J27" s="246">
        <f>G27*H27</f>
        <v>0</v>
      </c>
      <c r="K27" s="243"/>
      <c r="L27" s="243"/>
      <c r="M27" s="243"/>
      <c r="N27" s="243"/>
      <c r="O27" s="243"/>
      <c r="P27" s="243"/>
      <c r="Q27" s="243"/>
    </row>
    <row r="28" spans="1:19" outlineLevel="1" x14ac:dyDescent="0.2">
      <c r="A28" s="243" t="s">
        <v>572</v>
      </c>
      <c r="B28" s="244"/>
      <c r="C28" s="244"/>
      <c r="D28" s="244"/>
      <c r="E28" s="244"/>
      <c r="F28" s="243"/>
      <c r="G28" s="246">
        <f>((D28*20)+E28)-((B28*20)+C28)</f>
        <v>0</v>
      </c>
      <c r="H28" s="247">
        <v>8.6</v>
      </c>
      <c r="I28" s="243"/>
      <c r="J28" s="246">
        <f>G28*H28</f>
        <v>0</v>
      </c>
      <c r="K28" s="243"/>
      <c r="L28" s="243"/>
      <c r="M28" s="243"/>
      <c r="N28" s="243"/>
      <c r="O28" s="243"/>
      <c r="P28" s="243"/>
      <c r="Q28" s="243"/>
    </row>
    <row r="29" spans="1:19" outlineLevel="1" x14ac:dyDescent="0.2">
      <c r="A29" s="243" t="s">
        <v>587</v>
      </c>
      <c r="B29" s="244"/>
      <c r="C29" s="244"/>
      <c r="D29" s="244"/>
      <c r="E29" s="244"/>
      <c r="F29" s="243"/>
      <c r="G29" s="246">
        <f t="shared" ref="G29:G30" si="2">((D29*20)+E29)-((B29*20)+C29)</f>
        <v>0</v>
      </c>
      <c r="H29" s="247">
        <v>8.6</v>
      </c>
      <c r="I29" s="243"/>
      <c r="J29" s="246">
        <f>G29*H29</f>
        <v>0</v>
      </c>
      <c r="K29" s="243"/>
      <c r="L29" s="243"/>
      <c r="M29" s="243"/>
      <c r="N29" s="243"/>
      <c r="O29" s="243"/>
      <c r="P29" s="243"/>
      <c r="Q29" s="243"/>
    </row>
    <row r="30" spans="1:19" outlineLevel="1" x14ac:dyDescent="0.2">
      <c r="A30" s="243" t="s">
        <v>573</v>
      </c>
      <c r="B30" s="244"/>
      <c r="C30" s="244"/>
      <c r="D30" s="244"/>
      <c r="E30" s="244"/>
      <c r="F30" s="243"/>
      <c r="G30" s="246">
        <f t="shared" si="2"/>
        <v>0</v>
      </c>
      <c r="H30" s="247"/>
      <c r="I30" s="243"/>
      <c r="J30" s="251"/>
      <c r="K30" s="243"/>
      <c r="L30" s="243"/>
      <c r="M30" s="243"/>
      <c r="N30" s="243"/>
      <c r="O30" s="243"/>
      <c r="P30" s="243"/>
      <c r="Q30" s="243"/>
    </row>
    <row r="31" spans="1:19" outlineLevel="1" x14ac:dyDescent="0.2">
      <c r="A31" s="243" t="s">
        <v>574</v>
      </c>
      <c r="B31" s="244"/>
      <c r="C31" s="244"/>
      <c r="D31" s="244"/>
      <c r="E31" s="244"/>
      <c r="F31" s="243"/>
      <c r="G31" s="246">
        <f>((D31*20)+E31)-((B31*20)+C31)</f>
        <v>0</v>
      </c>
      <c r="H31" s="245">
        <v>7.6</v>
      </c>
      <c r="I31" s="243"/>
      <c r="J31" s="246">
        <f>G31*H31</f>
        <v>0</v>
      </c>
      <c r="K31" s="243"/>
      <c r="L31" s="243"/>
      <c r="M31" s="243"/>
      <c r="N31" s="243"/>
      <c r="O31" s="243"/>
      <c r="P31" s="243"/>
      <c r="Q31" s="243"/>
    </row>
    <row r="32" spans="1:19" ht="9" customHeight="1" outlineLevel="1" x14ac:dyDescent="0.2">
      <c r="A32" s="248" t="s">
        <v>588</v>
      </c>
      <c r="B32" s="252"/>
      <c r="C32" s="252"/>
      <c r="D32" s="252"/>
      <c r="E32" s="252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</row>
    <row r="33" spans="1:17" ht="9" customHeight="1" outlineLevel="1" x14ac:dyDescent="0.2">
      <c r="A33" s="257" t="s">
        <v>589</v>
      </c>
      <c r="B33" s="258"/>
      <c r="C33" s="258"/>
      <c r="D33" s="258"/>
      <c r="E33" s="258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60" t="s">
        <v>590</v>
      </c>
      <c r="Q33" s="261">
        <f>SUM(P34:P38)</f>
        <v>0</v>
      </c>
    </row>
    <row r="34" spans="1:17" outlineLevel="1" x14ac:dyDescent="0.2">
      <c r="A34" s="243" t="s">
        <v>571</v>
      </c>
      <c r="B34" s="244"/>
      <c r="C34" s="244"/>
      <c r="D34" s="244"/>
      <c r="E34" s="245"/>
      <c r="F34" s="243"/>
      <c r="G34" s="246">
        <f>((D34*20)+E34)-((B34*20)+C34)</f>
        <v>0</v>
      </c>
      <c r="H34" s="247">
        <v>8.6</v>
      </c>
      <c r="I34" s="243"/>
      <c r="J34" s="246">
        <f>G34*H34</f>
        <v>0</v>
      </c>
      <c r="K34" s="243"/>
      <c r="L34" s="243"/>
      <c r="M34" s="243"/>
      <c r="N34" s="251">
        <v>1.2</v>
      </c>
      <c r="O34" s="243" t="s">
        <v>591</v>
      </c>
      <c r="P34" s="251">
        <f>J34*(N34/1000)</f>
        <v>0</v>
      </c>
      <c r="Q34" s="243"/>
    </row>
    <row r="35" spans="1:17" ht="15" outlineLevel="1" x14ac:dyDescent="0.2">
      <c r="A35" s="243" t="s">
        <v>572</v>
      </c>
      <c r="B35" s="244"/>
      <c r="C35" s="244"/>
      <c r="D35" s="244"/>
      <c r="E35" s="244"/>
      <c r="F35" s="243"/>
      <c r="G35" s="246">
        <f t="shared" ref="G35:G38" si="3">((D35*20)+E35)-((B35*20)+C35)</f>
        <v>0</v>
      </c>
      <c r="H35" s="247">
        <v>8.6</v>
      </c>
      <c r="I35" s="243"/>
      <c r="J35" s="246">
        <f t="shared" ref="J35:J38" si="4">G35*H35</f>
        <v>0</v>
      </c>
      <c r="K35" s="243"/>
      <c r="L35" s="243"/>
      <c r="M35" s="243"/>
      <c r="N35" s="251">
        <v>1.2</v>
      </c>
      <c r="O35" s="243" t="s">
        <v>592</v>
      </c>
      <c r="P35" s="251">
        <f t="shared" ref="P35:P38" si="5">J35*(N35/1000)</f>
        <v>0</v>
      </c>
      <c r="Q35" s="243"/>
    </row>
    <row r="36" spans="1:17" outlineLevel="1" x14ac:dyDescent="0.2">
      <c r="A36" s="243" t="s">
        <v>587</v>
      </c>
      <c r="B36" s="244"/>
      <c r="C36" s="244"/>
      <c r="D36" s="244"/>
      <c r="E36" s="244"/>
      <c r="F36" s="243"/>
      <c r="G36" s="246">
        <f t="shared" si="3"/>
        <v>0</v>
      </c>
      <c r="H36" s="247">
        <v>8.6</v>
      </c>
      <c r="I36" s="243"/>
      <c r="J36" s="246">
        <f t="shared" si="4"/>
        <v>0</v>
      </c>
      <c r="K36" s="243"/>
      <c r="L36" s="243"/>
      <c r="M36" s="243"/>
      <c r="N36" s="251">
        <v>1.2</v>
      </c>
      <c r="O36" s="243"/>
      <c r="P36" s="251">
        <f t="shared" si="5"/>
        <v>0</v>
      </c>
      <c r="Q36" s="243"/>
    </row>
    <row r="37" spans="1:17" ht="15" outlineLevel="1" x14ac:dyDescent="0.2">
      <c r="A37" s="243" t="s">
        <v>573</v>
      </c>
      <c r="B37" s="244"/>
      <c r="C37" s="244"/>
      <c r="D37" s="244"/>
      <c r="E37" s="244"/>
      <c r="F37" s="243"/>
      <c r="G37" s="246">
        <f t="shared" si="3"/>
        <v>0</v>
      </c>
      <c r="H37" s="243"/>
      <c r="I37" s="243"/>
      <c r="J37" s="251"/>
      <c r="K37" s="243"/>
      <c r="L37" s="243"/>
      <c r="M37" s="243"/>
      <c r="N37" s="251">
        <v>1.2</v>
      </c>
      <c r="O37" s="243" t="s">
        <v>593</v>
      </c>
      <c r="P37" s="251">
        <f t="shared" si="5"/>
        <v>0</v>
      </c>
      <c r="Q37" s="243"/>
    </row>
    <row r="38" spans="1:17" ht="15" outlineLevel="1" x14ac:dyDescent="0.2">
      <c r="A38" s="243" t="s">
        <v>574</v>
      </c>
      <c r="B38" s="244"/>
      <c r="C38" s="244"/>
      <c r="D38" s="244"/>
      <c r="E38" s="244"/>
      <c r="F38" s="243"/>
      <c r="G38" s="246">
        <f t="shared" si="3"/>
        <v>0</v>
      </c>
      <c r="H38" s="245">
        <v>7.6</v>
      </c>
      <c r="I38" s="243"/>
      <c r="J38" s="246">
        <f t="shared" si="4"/>
        <v>0</v>
      </c>
      <c r="K38" s="243"/>
      <c r="L38" s="243"/>
      <c r="M38" s="243"/>
      <c r="N38" s="251">
        <v>1.2</v>
      </c>
      <c r="O38" s="243" t="s">
        <v>594</v>
      </c>
      <c r="P38" s="251">
        <f t="shared" si="5"/>
        <v>0</v>
      </c>
      <c r="Q38" s="243"/>
    </row>
    <row r="39" spans="1:17" ht="9" customHeight="1" outlineLevel="1" x14ac:dyDescent="0.2">
      <c r="A39" s="257" t="s">
        <v>595</v>
      </c>
      <c r="B39" s="258"/>
      <c r="C39" s="258"/>
      <c r="D39" s="258"/>
      <c r="E39" s="258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60" t="s">
        <v>590</v>
      </c>
      <c r="Q39" s="261">
        <f>SUM(P40:P44)</f>
        <v>16.8</v>
      </c>
    </row>
    <row r="40" spans="1:17" outlineLevel="1" x14ac:dyDescent="0.2">
      <c r="A40" s="243" t="s">
        <v>571</v>
      </c>
      <c r="B40" s="244">
        <v>0</v>
      </c>
      <c r="C40" s="244">
        <v>0</v>
      </c>
      <c r="D40" s="244">
        <v>210</v>
      </c>
      <c r="E40" s="244">
        <v>0</v>
      </c>
      <c r="F40" s="243"/>
      <c r="G40" s="246">
        <f>((D40*20)+E40)-((B40*20)+C40)</f>
        <v>4200</v>
      </c>
      <c r="H40" s="245">
        <v>8</v>
      </c>
      <c r="I40" s="243"/>
      <c r="J40" s="246">
        <f>G40*H40</f>
        <v>33600</v>
      </c>
      <c r="K40" s="243"/>
      <c r="L40" s="243"/>
      <c r="M40" s="243"/>
      <c r="N40" s="251">
        <v>0.5</v>
      </c>
      <c r="O40" s="243" t="s">
        <v>591</v>
      </c>
      <c r="P40" s="251">
        <f>J40*(N40/1000)</f>
        <v>16.8</v>
      </c>
      <c r="Q40" s="243"/>
    </row>
    <row r="41" spans="1:17" ht="15" outlineLevel="1" x14ac:dyDescent="0.2">
      <c r="A41" s="243" t="s">
        <v>572</v>
      </c>
      <c r="B41" s="244"/>
      <c r="C41" s="244"/>
      <c r="D41" s="244"/>
      <c r="E41" s="244"/>
      <c r="F41" s="243"/>
      <c r="G41" s="246">
        <f t="shared" ref="G41:G44" si="6">((D41*20)+E41)-((B41*20)+C41)</f>
        <v>0</v>
      </c>
      <c r="H41" s="245">
        <v>8</v>
      </c>
      <c r="I41" s="243"/>
      <c r="J41" s="246">
        <f t="shared" ref="J41:J44" si="7">G41*H41</f>
        <v>0</v>
      </c>
      <c r="K41" s="243"/>
      <c r="L41" s="243"/>
      <c r="M41" s="243"/>
      <c r="N41" s="251">
        <v>0.5</v>
      </c>
      <c r="O41" s="243" t="s">
        <v>592</v>
      </c>
      <c r="P41" s="251">
        <f t="shared" ref="P41:P44" si="8">J41*(N41/1000)</f>
        <v>0</v>
      </c>
      <c r="Q41" s="243"/>
    </row>
    <row r="42" spans="1:17" outlineLevel="1" x14ac:dyDescent="0.2">
      <c r="A42" s="243" t="s">
        <v>587</v>
      </c>
      <c r="B42" s="244"/>
      <c r="C42" s="244"/>
      <c r="D42" s="244"/>
      <c r="E42" s="244"/>
      <c r="F42" s="243"/>
      <c r="G42" s="246"/>
      <c r="H42" s="245"/>
      <c r="I42" s="243"/>
      <c r="J42" s="246"/>
      <c r="K42" s="243"/>
      <c r="L42" s="243"/>
      <c r="M42" s="243"/>
      <c r="N42" s="251"/>
      <c r="O42" s="243"/>
      <c r="P42" s="251"/>
      <c r="Q42" s="243"/>
    </row>
    <row r="43" spans="1:17" ht="15" outlineLevel="1" x14ac:dyDescent="0.2">
      <c r="A43" s="243" t="s">
        <v>573</v>
      </c>
      <c r="B43" s="244"/>
      <c r="C43" s="244"/>
      <c r="D43" s="244"/>
      <c r="E43" s="244"/>
      <c r="F43" s="243"/>
      <c r="G43" s="246">
        <f t="shared" si="6"/>
        <v>0</v>
      </c>
      <c r="H43" s="245"/>
      <c r="I43" s="243"/>
      <c r="J43" s="251"/>
      <c r="K43" s="243"/>
      <c r="L43" s="243"/>
      <c r="M43" s="243"/>
      <c r="N43" s="251">
        <v>0.5</v>
      </c>
      <c r="O43" s="243" t="s">
        <v>593</v>
      </c>
      <c r="P43" s="251">
        <f t="shared" si="8"/>
        <v>0</v>
      </c>
      <c r="Q43" s="243"/>
    </row>
    <row r="44" spans="1:17" ht="15" outlineLevel="1" x14ac:dyDescent="0.2">
      <c r="A44" s="243" t="s">
        <v>574</v>
      </c>
      <c r="B44" s="244"/>
      <c r="C44" s="244"/>
      <c r="D44" s="244"/>
      <c r="E44" s="244"/>
      <c r="F44" s="243"/>
      <c r="G44" s="246">
        <f t="shared" si="6"/>
        <v>0</v>
      </c>
      <c r="H44" s="245">
        <v>7</v>
      </c>
      <c r="I44" s="243"/>
      <c r="J44" s="246">
        <f t="shared" si="7"/>
        <v>0</v>
      </c>
      <c r="K44" s="243"/>
      <c r="L44" s="243"/>
      <c r="M44" s="243"/>
      <c r="N44" s="251">
        <v>0.5</v>
      </c>
      <c r="O44" s="243" t="s">
        <v>594</v>
      </c>
      <c r="P44" s="251">
        <f t="shared" si="8"/>
        <v>0</v>
      </c>
      <c r="Q44" s="243"/>
    </row>
    <row r="45" spans="1:17" ht="9" customHeight="1" outlineLevel="1" x14ac:dyDescent="0.2">
      <c r="A45" s="266" t="s">
        <v>596</v>
      </c>
      <c r="B45" s="258"/>
      <c r="C45" s="258"/>
      <c r="D45" s="258"/>
      <c r="E45" s="258"/>
      <c r="F45" s="259"/>
      <c r="G45" s="259"/>
      <c r="H45" s="259"/>
      <c r="I45" s="259"/>
      <c r="J45" s="259"/>
      <c r="K45" s="259"/>
      <c r="L45" s="259"/>
      <c r="M45" s="259"/>
      <c r="N45" s="259"/>
      <c r="O45" s="259"/>
      <c r="P45" s="260" t="s">
        <v>590</v>
      </c>
      <c r="Q45" s="268">
        <f>SUM(P46:P50)</f>
        <v>120.96</v>
      </c>
    </row>
    <row r="46" spans="1:17" outlineLevel="1" x14ac:dyDescent="0.2">
      <c r="A46" s="243" t="s">
        <v>571</v>
      </c>
      <c r="B46" s="244">
        <v>0</v>
      </c>
      <c r="C46" s="244">
        <v>0</v>
      </c>
      <c r="D46" s="244">
        <v>210</v>
      </c>
      <c r="E46" s="245">
        <v>0</v>
      </c>
      <c r="F46" s="243"/>
      <c r="G46" s="246">
        <f>((D46*20)+E46)-((B46*20)+C46)</f>
        <v>4200</v>
      </c>
      <c r="H46" s="245">
        <v>8</v>
      </c>
      <c r="I46" s="269">
        <v>2.5000000000000001E-2</v>
      </c>
      <c r="J46" s="246">
        <f>G46*H46</f>
        <v>33600</v>
      </c>
      <c r="K46" s="250">
        <f>J46*I46</f>
        <v>840</v>
      </c>
      <c r="L46" s="243"/>
      <c r="M46" s="243"/>
      <c r="N46" s="267">
        <v>0.06</v>
      </c>
      <c r="O46" s="243"/>
      <c r="P46" s="251">
        <f>K46*N46*2.4</f>
        <v>120.96</v>
      </c>
      <c r="Q46" s="243"/>
    </row>
    <row r="47" spans="1:17" outlineLevel="1" x14ac:dyDescent="0.2">
      <c r="A47" s="243" t="s">
        <v>572</v>
      </c>
      <c r="B47" s="244"/>
      <c r="C47" s="244"/>
      <c r="D47" s="244"/>
      <c r="E47" s="244"/>
      <c r="F47" s="243"/>
      <c r="G47" s="246">
        <f t="shared" ref="G47:G50" si="9">((D47*20)+E47)-((B47*20)+C47)</f>
        <v>0</v>
      </c>
      <c r="H47" s="245">
        <v>8</v>
      </c>
      <c r="I47" s="269">
        <v>2.5000000000000001E-2</v>
      </c>
      <c r="J47" s="246">
        <f t="shared" ref="J47:J48" si="10">G47*H47</f>
        <v>0</v>
      </c>
      <c r="K47" s="250">
        <f t="shared" ref="K47:K50" si="11">J47*I47</f>
        <v>0</v>
      </c>
      <c r="L47" s="243"/>
      <c r="M47" s="243"/>
      <c r="N47" s="267">
        <v>0.06</v>
      </c>
      <c r="O47" s="243"/>
      <c r="P47" s="251">
        <f t="shared" ref="P47:P50" si="12">K47*N47*2.4</f>
        <v>0</v>
      </c>
      <c r="Q47" s="243"/>
    </row>
    <row r="48" spans="1:17" outlineLevel="1" x14ac:dyDescent="0.2">
      <c r="A48" s="243" t="s">
        <v>587</v>
      </c>
      <c r="B48" s="244"/>
      <c r="C48" s="244"/>
      <c r="D48" s="244"/>
      <c r="E48" s="244"/>
      <c r="F48" s="243"/>
      <c r="G48" s="246">
        <f t="shared" si="9"/>
        <v>0</v>
      </c>
      <c r="H48" s="245">
        <v>8</v>
      </c>
      <c r="I48" s="269">
        <v>2.5000000000000001E-2</v>
      </c>
      <c r="J48" s="246">
        <f t="shared" si="10"/>
        <v>0</v>
      </c>
      <c r="K48" s="250">
        <f t="shared" si="11"/>
        <v>0</v>
      </c>
      <c r="L48" s="243"/>
      <c r="M48" s="243"/>
      <c r="N48" s="267">
        <v>0.06</v>
      </c>
      <c r="O48" s="243"/>
      <c r="P48" s="251">
        <f t="shared" si="12"/>
        <v>0</v>
      </c>
      <c r="Q48" s="243"/>
    </row>
    <row r="49" spans="1:17" outlineLevel="1" x14ac:dyDescent="0.2">
      <c r="A49" s="243" t="s">
        <v>573</v>
      </c>
      <c r="B49" s="244"/>
      <c r="C49" s="244"/>
      <c r="D49" s="244"/>
      <c r="E49" s="244"/>
      <c r="F49" s="243"/>
      <c r="G49" s="246">
        <f t="shared" si="9"/>
        <v>0</v>
      </c>
      <c r="H49" s="245"/>
      <c r="I49" s="269">
        <v>2.5000000000000001E-2</v>
      </c>
      <c r="J49" s="251"/>
      <c r="K49" s="250">
        <f t="shared" si="11"/>
        <v>0</v>
      </c>
      <c r="L49" s="243"/>
      <c r="M49" s="243"/>
      <c r="N49" s="267">
        <v>0.06</v>
      </c>
      <c r="O49" s="243"/>
      <c r="P49" s="251">
        <f t="shared" si="12"/>
        <v>0</v>
      </c>
      <c r="Q49" s="243"/>
    </row>
    <row r="50" spans="1:17" outlineLevel="1" x14ac:dyDescent="0.2">
      <c r="A50" s="243" t="s">
        <v>574</v>
      </c>
      <c r="B50" s="244"/>
      <c r="C50" s="244"/>
      <c r="D50" s="244"/>
      <c r="E50" s="244"/>
      <c r="F50" s="243"/>
      <c r="G50" s="246">
        <f t="shared" si="9"/>
        <v>0</v>
      </c>
      <c r="H50" s="245">
        <v>7</v>
      </c>
      <c r="I50" s="269">
        <v>2.5000000000000001E-2</v>
      </c>
      <c r="J50" s="246">
        <f t="shared" ref="J50" si="13">G50*H50</f>
        <v>0</v>
      </c>
      <c r="K50" s="250">
        <f t="shared" si="11"/>
        <v>0</v>
      </c>
      <c r="L50" s="243"/>
      <c r="M50" s="243"/>
      <c r="N50" s="267">
        <v>0.06</v>
      </c>
      <c r="O50" s="243"/>
      <c r="P50" s="251">
        <f t="shared" si="12"/>
        <v>0</v>
      </c>
      <c r="Q50" s="243"/>
    </row>
    <row r="51" spans="1:17" ht="9" customHeight="1" outlineLevel="1" x14ac:dyDescent="0.2">
      <c r="A51" s="248" t="s">
        <v>597</v>
      </c>
      <c r="B51" s="252"/>
      <c r="C51" s="252"/>
      <c r="D51" s="252"/>
      <c r="E51" s="252"/>
      <c r="F51" s="249"/>
      <c r="G51" s="249"/>
      <c r="H51" s="249"/>
      <c r="I51" s="249"/>
      <c r="J51" s="249"/>
      <c r="K51" s="241" t="s">
        <v>576</v>
      </c>
      <c r="L51" s="249"/>
      <c r="M51" s="249"/>
      <c r="N51" s="249"/>
      <c r="O51" s="249"/>
      <c r="P51" s="241" t="s">
        <v>495</v>
      </c>
      <c r="Q51" s="253">
        <f>SUM(K52:K56)</f>
        <v>840</v>
      </c>
    </row>
    <row r="52" spans="1:17" outlineLevel="1" x14ac:dyDescent="0.2">
      <c r="A52" s="243" t="s">
        <v>571</v>
      </c>
      <c r="B52" s="244">
        <v>0</v>
      </c>
      <c r="C52" s="244">
        <v>0</v>
      </c>
      <c r="D52" s="244">
        <v>210</v>
      </c>
      <c r="E52" s="245">
        <v>0</v>
      </c>
      <c r="F52" s="243"/>
      <c r="G52" s="246">
        <f>((D52*20)+E52)-((B52*20)+C52)</f>
        <v>4200</v>
      </c>
      <c r="H52" s="245">
        <v>8</v>
      </c>
      <c r="I52" s="269">
        <v>2.5000000000000001E-2</v>
      </c>
      <c r="J52" s="246">
        <f>G52*H52</f>
        <v>33600</v>
      </c>
      <c r="K52" s="250">
        <f>J52*I52</f>
        <v>840</v>
      </c>
      <c r="L52" s="243"/>
      <c r="M52" s="243"/>
      <c r="N52" s="251">
        <v>2.4</v>
      </c>
      <c r="O52" s="243"/>
      <c r="P52" s="251">
        <f>K52*N52</f>
        <v>2016</v>
      </c>
      <c r="Q52" s="243"/>
    </row>
    <row r="53" spans="1:17" outlineLevel="1" x14ac:dyDescent="0.2">
      <c r="A53" s="243" t="s">
        <v>572</v>
      </c>
      <c r="B53" s="244"/>
      <c r="C53" s="244"/>
      <c r="D53" s="244"/>
      <c r="E53" s="244"/>
      <c r="F53" s="243"/>
      <c r="G53" s="246">
        <f t="shared" ref="G53:G56" si="14">((D53*20)+E53)-((B53*20)+C53)</f>
        <v>0</v>
      </c>
      <c r="H53" s="245">
        <v>8</v>
      </c>
      <c r="I53" s="269">
        <v>2.5000000000000001E-2</v>
      </c>
      <c r="J53" s="246">
        <f t="shared" ref="J53:J56" si="15">G53*H53</f>
        <v>0</v>
      </c>
      <c r="K53" s="250">
        <f t="shared" ref="K53:K56" si="16">J53*I53</f>
        <v>0</v>
      </c>
      <c r="L53" s="243"/>
      <c r="M53" s="243"/>
      <c r="N53" s="251">
        <v>2.4</v>
      </c>
      <c r="O53" s="243"/>
      <c r="P53" s="251">
        <f t="shared" ref="P53:P56" si="17">K53*N53</f>
        <v>0</v>
      </c>
      <c r="Q53" s="243"/>
    </row>
    <row r="54" spans="1:17" outlineLevel="1" x14ac:dyDescent="0.2">
      <c r="A54" s="243" t="s">
        <v>587</v>
      </c>
      <c r="B54" s="244"/>
      <c r="C54" s="244"/>
      <c r="D54" s="244"/>
      <c r="E54" s="244"/>
      <c r="F54" s="243"/>
      <c r="G54" s="246">
        <f t="shared" si="14"/>
        <v>0</v>
      </c>
      <c r="H54" s="245">
        <v>8</v>
      </c>
      <c r="I54" s="269">
        <v>2.5000000000000001E-2</v>
      </c>
      <c r="J54" s="246">
        <f t="shared" si="15"/>
        <v>0</v>
      </c>
      <c r="K54" s="250">
        <f t="shared" si="16"/>
        <v>0</v>
      </c>
      <c r="L54" s="243"/>
      <c r="M54" s="243"/>
      <c r="N54" s="251">
        <v>2.4</v>
      </c>
      <c r="O54" s="243"/>
      <c r="P54" s="251">
        <f t="shared" si="17"/>
        <v>0</v>
      </c>
      <c r="Q54" s="243"/>
    </row>
    <row r="55" spans="1:17" outlineLevel="1" x14ac:dyDescent="0.2">
      <c r="A55" s="243" t="s">
        <v>573</v>
      </c>
      <c r="B55" s="244"/>
      <c r="C55" s="244"/>
      <c r="D55" s="244"/>
      <c r="E55" s="244"/>
      <c r="F55" s="243"/>
      <c r="G55" s="246">
        <f t="shared" si="14"/>
        <v>0</v>
      </c>
      <c r="H55" s="245"/>
      <c r="I55" s="269">
        <v>2.5000000000000001E-2</v>
      </c>
      <c r="J55" s="251">
        <f>J49</f>
        <v>0</v>
      </c>
      <c r="K55" s="250">
        <f t="shared" si="16"/>
        <v>0</v>
      </c>
      <c r="L55" s="243"/>
      <c r="M55" s="243"/>
      <c r="N55" s="251">
        <v>2.4</v>
      </c>
      <c r="O55" s="243"/>
      <c r="P55" s="251">
        <f>K55*N55</f>
        <v>0</v>
      </c>
      <c r="Q55" s="243"/>
    </row>
    <row r="56" spans="1:17" outlineLevel="1" x14ac:dyDescent="0.2">
      <c r="A56" s="243" t="s">
        <v>574</v>
      </c>
      <c r="B56" s="244"/>
      <c r="C56" s="244"/>
      <c r="D56" s="244"/>
      <c r="E56" s="244"/>
      <c r="F56" s="243"/>
      <c r="G56" s="246">
        <f t="shared" si="14"/>
        <v>0</v>
      </c>
      <c r="H56" s="245">
        <v>7</v>
      </c>
      <c r="I56" s="269">
        <v>2.5000000000000001E-2</v>
      </c>
      <c r="J56" s="246">
        <f t="shared" si="15"/>
        <v>0</v>
      </c>
      <c r="K56" s="250">
        <f t="shared" si="16"/>
        <v>0</v>
      </c>
      <c r="L56" s="243"/>
      <c r="M56" s="243"/>
      <c r="N56" s="251">
        <v>2.4</v>
      </c>
      <c r="O56" s="243"/>
      <c r="P56" s="251">
        <f t="shared" si="17"/>
        <v>0</v>
      </c>
      <c r="Q56" s="243"/>
    </row>
    <row r="57" spans="1:17" ht="9" customHeight="1" x14ac:dyDescent="0.2">
      <c r="A57" s="248" t="s">
        <v>598</v>
      </c>
      <c r="B57" s="252"/>
      <c r="C57" s="252"/>
      <c r="D57" s="252"/>
      <c r="E57" s="252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1" t="s">
        <v>599</v>
      </c>
      <c r="Q57" s="253">
        <f>G58+G59+G60</f>
        <v>73.109999999999673</v>
      </c>
    </row>
    <row r="58" spans="1:17" ht="9" customHeight="1" x14ac:dyDescent="0.2">
      <c r="A58" s="254" t="s">
        <v>600</v>
      </c>
      <c r="B58" s="255"/>
      <c r="C58" s="256"/>
      <c r="D58" s="255"/>
      <c r="E58" s="256"/>
      <c r="F58" s="420"/>
      <c r="G58" s="246">
        <f>((D58*20)+E58)-((B58*20)+C58)</f>
        <v>0</v>
      </c>
      <c r="H58" s="420"/>
      <c r="I58" s="420"/>
      <c r="J58" s="420"/>
      <c r="K58" s="420"/>
      <c r="L58" s="420"/>
      <c r="M58" s="351"/>
      <c r="N58" s="420"/>
      <c r="O58" s="420"/>
      <c r="P58" s="420"/>
      <c r="Q58" s="420"/>
    </row>
    <row r="59" spans="1:17" ht="9" customHeight="1" x14ac:dyDescent="0.2">
      <c r="A59" s="254" t="s">
        <v>601</v>
      </c>
      <c r="B59" s="255">
        <v>317</v>
      </c>
      <c r="C59" s="256">
        <v>0</v>
      </c>
      <c r="D59" s="255">
        <v>320</v>
      </c>
      <c r="E59" s="256">
        <v>13.11</v>
      </c>
      <c r="F59" s="420"/>
      <c r="G59" s="246">
        <f t="shared" ref="G59:G60" si="18">((D59*20)+E59)-((B59*20)+C59)</f>
        <v>73.109999999999673</v>
      </c>
      <c r="H59" s="420"/>
      <c r="I59" s="420"/>
      <c r="J59" s="420"/>
      <c r="K59" s="420"/>
      <c r="L59" s="420"/>
      <c r="M59" s="351"/>
      <c r="N59" s="420"/>
      <c r="O59" s="420"/>
      <c r="P59" s="420"/>
      <c r="Q59" s="420"/>
    </row>
    <row r="60" spans="1:17" ht="9" customHeight="1" x14ac:dyDescent="0.2">
      <c r="A60" s="262" t="s">
        <v>602</v>
      </c>
      <c r="B60" s="263"/>
      <c r="C60" s="264"/>
      <c r="D60" s="263"/>
      <c r="E60" s="264"/>
      <c r="F60" s="421"/>
      <c r="G60" s="246">
        <f t="shared" si="18"/>
        <v>0</v>
      </c>
      <c r="H60" s="421"/>
      <c r="I60" s="421"/>
      <c r="J60" s="421"/>
      <c r="K60" s="421"/>
      <c r="L60" s="421"/>
      <c r="M60" s="350"/>
      <c r="N60" s="421"/>
      <c r="O60" s="421"/>
      <c r="P60" s="421"/>
      <c r="Q60" s="421"/>
    </row>
    <row r="61" spans="1:17" ht="51" customHeight="1" x14ac:dyDescent="0.2">
      <c r="A61" s="422" t="s">
        <v>603</v>
      </c>
      <c r="B61" s="423"/>
      <c r="C61" s="423"/>
      <c r="D61" s="423"/>
      <c r="E61" s="423"/>
      <c r="F61" s="423"/>
      <c r="G61" s="423"/>
      <c r="H61" s="424"/>
      <c r="I61" s="422"/>
      <c r="J61" s="423"/>
      <c r="K61" s="423"/>
      <c r="L61" s="423"/>
      <c r="M61" s="423"/>
      <c r="N61" s="423"/>
      <c r="O61" s="423"/>
      <c r="P61" s="424"/>
      <c r="Q61" s="265"/>
    </row>
    <row r="63" spans="1:17" ht="25.5" hidden="1" x14ac:dyDescent="0.2">
      <c r="A63" s="199" t="s">
        <v>13</v>
      </c>
      <c r="B63" s="199" t="s">
        <v>604</v>
      </c>
      <c r="C63" s="201" t="s">
        <v>605</v>
      </c>
      <c r="D63" s="201" t="s">
        <v>606</v>
      </c>
      <c r="E63" s="201" t="s">
        <v>607</v>
      </c>
      <c r="F63" s="200"/>
      <c r="G63" s="200"/>
      <c r="H63" s="200"/>
      <c r="I63" s="200"/>
      <c r="J63" s="200"/>
      <c r="K63" s="200"/>
      <c r="L63" s="200"/>
    </row>
    <row r="64" spans="1:17" ht="41.25" hidden="1" customHeight="1" x14ac:dyDescent="0.2">
      <c r="A64" s="325" t="s">
        <v>608</v>
      </c>
      <c r="B64" s="326" t="s">
        <v>43</v>
      </c>
      <c r="C64" s="326">
        <f>'PLANILHA - BM 15 CT'!F148</f>
        <v>56859.671999999999</v>
      </c>
      <c r="D64" s="326">
        <f>Q26</f>
        <v>0</v>
      </c>
      <c r="E64" s="326"/>
    </row>
    <row r="65" spans="1:5" ht="38.25" hidden="1" x14ac:dyDescent="0.2">
      <c r="A65" s="325" t="s">
        <v>381</v>
      </c>
      <c r="B65" s="326" t="s">
        <v>77</v>
      </c>
      <c r="C65" s="326">
        <f>'PLANILHA - BM 15 CT'!F152</f>
        <v>1329.12825</v>
      </c>
      <c r="D65" s="326">
        <f>Q51</f>
        <v>840</v>
      </c>
      <c r="E65" s="326"/>
    </row>
    <row r="66" spans="1:5" ht="25.5" hidden="1" x14ac:dyDescent="0.2">
      <c r="A66" s="325" t="s">
        <v>386</v>
      </c>
      <c r="B66" s="326" t="s">
        <v>77</v>
      </c>
      <c r="C66" s="326">
        <f>'PLANILHA - BM 15 CT'!F154</f>
        <v>1661.4103124999999</v>
      </c>
      <c r="D66" s="326">
        <f>D65*1.25</f>
        <v>1050</v>
      </c>
      <c r="E66" s="326"/>
    </row>
    <row r="67" spans="1:5" ht="38.25" hidden="1" x14ac:dyDescent="0.2">
      <c r="A67" s="325" t="s">
        <v>388</v>
      </c>
      <c r="B67" s="326" t="s">
        <v>609</v>
      </c>
      <c r="C67" s="326">
        <f>'PLANILHA - BM 15 CT'!F155</f>
        <v>68622.891547499996</v>
      </c>
      <c r="D67" s="326">
        <f>D66*2.4*17.21</f>
        <v>43369.200000000004</v>
      </c>
      <c r="E67" s="326"/>
    </row>
    <row r="68" spans="1:5" ht="38.25" hidden="1" x14ac:dyDescent="0.2">
      <c r="A68" s="325" t="s">
        <v>494</v>
      </c>
      <c r="B68" s="326" t="s">
        <v>495</v>
      </c>
      <c r="C68" s="326">
        <f>'PLANILHA - BM 15 CT'!F200</f>
        <v>68.23160639999999</v>
      </c>
      <c r="D68" s="326">
        <f>Q33</f>
        <v>0</v>
      </c>
      <c r="E68" s="326"/>
    </row>
    <row r="69" spans="1:5" ht="38.25" hidden="1" x14ac:dyDescent="0.2">
      <c r="A69" s="325" t="s">
        <v>499</v>
      </c>
      <c r="B69" s="326" t="s">
        <v>495</v>
      </c>
      <c r="C69" s="326">
        <f>'PLANILHA - BM 15 CT'!F202</f>
        <v>191.39446799999996</v>
      </c>
      <c r="D69" s="326">
        <f>Q45</f>
        <v>120.96</v>
      </c>
      <c r="E69" s="326"/>
    </row>
  </sheetData>
  <mergeCells count="36">
    <mergeCell ref="A1:Q1"/>
    <mergeCell ref="A2:A4"/>
    <mergeCell ref="B2:F2"/>
    <mergeCell ref="G2:G4"/>
    <mergeCell ref="H2:H4"/>
    <mergeCell ref="I2:I4"/>
    <mergeCell ref="J2:J4"/>
    <mergeCell ref="K2:K4"/>
    <mergeCell ref="L2:L4"/>
    <mergeCell ref="M2:M4"/>
    <mergeCell ref="Q2:Q4"/>
    <mergeCell ref="B3:E3"/>
    <mergeCell ref="F3:F4"/>
    <mergeCell ref="B4:C4"/>
    <mergeCell ref="D4:E4"/>
    <mergeCell ref="N24:N25"/>
    <mergeCell ref="O24:O25"/>
    <mergeCell ref="P24:P25"/>
    <mergeCell ref="N2:O3"/>
    <mergeCell ref="P2:P4"/>
    <mergeCell ref="Q58:Q60"/>
    <mergeCell ref="A61:H61"/>
    <mergeCell ref="I61:P61"/>
    <mergeCell ref="Q24:Q25"/>
    <mergeCell ref="F58:F60"/>
    <mergeCell ref="H58:H60"/>
    <mergeCell ref="I58:I60"/>
    <mergeCell ref="J58:J60"/>
    <mergeCell ref="K58:K60"/>
    <mergeCell ref="L58:L60"/>
    <mergeCell ref="N58:N60"/>
    <mergeCell ref="O58:O60"/>
    <mergeCell ref="P58:P60"/>
    <mergeCell ref="F24:F25"/>
    <mergeCell ref="K24:K25"/>
    <mergeCell ref="L24:L25"/>
  </mergeCells>
  <pageMargins left="0.70866141732283472" right="0.70866141732283472" top="0.74803149606299213" bottom="0.74803149606299213" header="0.31496062992125984" footer="0.31496062992125984"/>
  <pageSetup paperSize="9" scale="46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5316-B5E8-406F-B85A-F9B31BEFE0E4}">
  <sheetPr filterMode="1"/>
  <dimension ref="A1:R101"/>
  <sheetViews>
    <sheetView view="pageBreakPreview" zoomScaleSheetLayoutView="100" workbookViewId="0">
      <selection activeCell="I88" sqref="I88"/>
    </sheetView>
  </sheetViews>
  <sheetFormatPr defaultColWidth="8.83203125" defaultRowHeight="12.75" x14ac:dyDescent="0.2"/>
  <cols>
    <col min="1" max="1" width="8.83203125" style="152"/>
    <col min="2" max="2" width="14.5" style="152" customWidth="1"/>
    <col min="3" max="3" width="5" style="152" customWidth="1"/>
    <col min="4" max="4" width="14.83203125" style="152" customWidth="1"/>
    <col min="5" max="5" width="5.6640625" style="152" customWidth="1"/>
    <col min="6" max="6" width="15.83203125" style="152" customWidth="1"/>
    <col min="7" max="7" width="5.5" style="152" customWidth="1"/>
    <col min="8" max="8" width="17.1640625" style="152" customWidth="1"/>
    <col min="9" max="10" width="20.1640625" style="152" customWidth="1"/>
    <col min="11" max="11" width="21" style="152" customWidth="1"/>
    <col min="12" max="12" width="18.83203125" style="152" customWidth="1"/>
    <col min="13" max="13" width="19.6640625" style="152" customWidth="1"/>
    <col min="14" max="15" width="16.83203125" style="152" customWidth="1"/>
    <col min="16" max="16" width="14.5" style="152" bestFit="1" customWidth="1"/>
    <col min="17" max="17" width="16.83203125" style="152" customWidth="1"/>
    <col min="18" max="18" width="13.5" style="152" customWidth="1"/>
    <col min="19" max="16384" width="8.83203125" style="152"/>
  </cols>
  <sheetData>
    <row r="1" spans="1:18" ht="21" x14ac:dyDescent="0.35">
      <c r="B1" s="453" t="s">
        <v>610</v>
      </c>
      <c r="C1" s="453"/>
      <c r="D1" s="453"/>
      <c r="E1" s="453"/>
      <c r="F1" s="453"/>
      <c r="G1" s="453"/>
      <c r="H1" s="453"/>
      <c r="I1" s="453"/>
      <c r="J1" s="453"/>
      <c r="K1" s="453"/>
      <c r="L1" s="151"/>
      <c r="M1" s="151"/>
      <c r="N1" s="151"/>
      <c r="O1" s="151"/>
      <c r="P1" s="151"/>
      <c r="Q1" s="151"/>
    </row>
    <row r="2" spans="1:18" ht="18" customHeight="1" x14ac:dyDescent="0.25">
      <c r="B2" s="454" t="s">
        <v>611</v>
      </c>
      <c r="C2" s="455"/>
      <c r="D2" s="455"/>
      <c r="E2" s="455"/>
      <c r="F2" s="455"/>
      <c r="G2" s="455"/>
      <c r="H2" s="455"/>
      <c r="I2" s="455"/>
      <c r="J2" s="455"/>
      <c r="K2" s="456"/>
      <c r="L2" s="458" t="s">
        <v>612</v>
      </c>
      <c r="M2" s="458"/>
      <c r="N2" s="458"/>
      <c r="O2" s="458"/>
      <c r="P2" s="458"/>
      <c r="Q2" s="458"/>
      <c r="R2" s="458"/>
    </row>
    <row r="3" spans="1:18" ht="15" x14ac:dyDescent="0.2">
      <c r="B3" s="457" t="s">
        <v>613</v>
      </c>
      <c r="C3" s="457"/>
      <c r="D3" s="457"/>
      <c r="E3" s="457"/>
      <c r="F3" s="457"/>
      <c r="G3" s="457"/>
      <c r="H3" s="457"/>
      <c r="I3" s="352" t="s">
        <v>614</v>
      </c>
      <c r="J3" s="352" t="s">
        <v>615</v>
      </c>
      <c r="K3" s="352" t="s">
        <v>616</v>
      </c>
      <c r="L3" s="281" t="s">
        <v>615</v>
      </c>
      <c r="M3" s="282" t="s">
        <v>617</v>
      </c>
      <c r="N3" s="282" t="s">
        <v>618</v>
      </c>
      <c r="O3" s="282" t="s">
        <v>619</v>
      </c>
      <c r="P3" s="282" t="s">
        <v>620</v>
      </c>
      <c r="Q3" s="282" t="s">
        <v>18</v>
      </c>
      <c r="R3" s="283" t="s">
        <v>30</v>
      </c>
    </row>
    <row r="4" spans="1:18" ht="15" x14ac:dyDescent="0.2">
      <c r="B4" s="299"/>
      <c r="C4" s="299"/>
      <c r="D4" s="299"/>
      <c r="E4" s="352"/>
      <c r="F4" s="352"/>
      <c r="G4" s="352"/>
      <c r="H4" s="352"/>
      <c r="I4" s="303">
        <f>SUBTOTAL(9,I5:I101)</f>
        <v>12</v>
      </c>
      <c r="J4" s="352"/>
      <c r="K4" s="352"/>
      <c r="L4" s="300"/>
      <c r="M4" s="301"/>
      <c r="N4" s="301"/>
      <c r="O4" s="301"/>
      <c r="P4" s="301"/>
      <c r="Q4" s="301"/>
      <c r="R4" s="302"/>
    </row>
    <row r="5" spans="1:18" ht="15" hidden="1" x14ac:dyDescent="0.25">
      <c r="A5" s="152" t="s">
        <v>621</v>
      </c>
      <c r="B5" s="153">
        <v>118</v>
      </c>
      <c r="C5" s="154" t="s">
        <v>622</v>
      </c>
      <c r="D5" s="155">
        <v>10</v>
      </c>
      <c r="E5" s="156" t="s">
        <v>623</v>
      </c>
      <c r="F5" s="157">
        <v>118</v>
      </c>
      <c r="G5" s="156" t="s">
        <v>622</v>
      </c>
      <c r="H5" s="157">
        <v>17</v>
      </c>
      <c r="I5" s="158">
        <v>7</v>
      </c>
      <c r="J5" s="158" t="s">
        <v>624</v>
      </c>
      <c r="K5" s="159" t="s">
        <v>625</v>
      </c>
      <c r="L5" s="160" t="s">
        <v>626</v>
      </c>
      <c r="M5" s="160">
        <f>'PLANILHA - BM 15 CT'!E73</f>
        <v>1861.6</v>
      </c>
      <c r="N5" s="160">
        <f>'PLANILHA - BM 15 CT'!F73</f>
        <v>1861.6</v>
      </c>
      <c r="O5" s="160">
        <f>'PLANILHA - BM 15 CT'!G73</f>
        <v>0</v>
      </c>
      <c r="P5" s="160">
        <f t="shared" ref="P5:P14" si="0">N5+O5</f>
        <v>1861.6</v>
      </c>
      <c r="Q5" s="160">
        <f t="shared" ref="Q5:Q15" si="1">M5-P5</f>
        <v>0</v>
      </c>
      <c r="R5" s="152">
        <f>403.9+513.5+724</f>
        <v>1641.4</v>
      </c>
    </row>
    <row r="6" spans="1:18" ht="15" hidden="1" x14ac:dyDescent="0.25">
      <c r="A6" s="152" t="s">
        <v>621</v>
      </c>
      <c r="B6" s="153">
        <v>120</v>
      </c>
      <c r="C6" s="154" t="s">
        <v>622</v>
      </c>
      <c r="D6" s="155">
        <v>0</v>
      </c>
      <c r="E6" s="156" t="s">
        <v>623</v>
      </c>
      <c r="F6" s="157">
        <v>120</v>
      </c>
      <c r="G6" s="156" t="s">
        <v>622</v>
      </c>
      <c r="H6" s="157">
        <v>7</v>
      </c>
      <c r="I6" s="158">
        <v>7</v>
      </c>
      <c r="J6" s="158" t="s">
        <v>624</v>
      </c>
      <c r="K6" s="159" t="s">
        <v>625</v>
      </c>
      <c r="L6" s="160" t="s">
        <v>627</v>
      </c>
      <c r="M6" s="160">
        <f>'PLANILHA - BM 15 CT'!E75</f>
        <v>112.5</v>
      </c>
      <c r="N6" s="160">
        <f>'PLANILHA - BM 15 CT'!F75</f>
        <v>112.5</v>
      </c>
      <c r="O6" s="160">
        <f>'PLANILHA - BM 15 CT'!G75</f>
        <v>0</v>
      </c>
      <c r="P6" s="160">
        <f t="shared" si="0"/>
        <v>112.5</v>
      </c>
      <c r="Q6" s="160">
        <f t="shared" si="1"/>
        <v>0</v>
      </c>
      <c r="R6" s="152">
        <v>32.380000000000003</v>
      </c>
    </row>
    <row r="7" spans="1:18" ht="15" hidden="1" x14ac:dyDescent="0.25">
      <c r="A7" s="152" t="s">
        <v>621</v>
      </c>
      <c r="B7" s="153">
        <v>124</v>
      </c>
      <c r="C7" s="154" t="s">
        <v>622</v>
      </c>
      <c r="D7" s="155">
        <v>0</v>
      </c>
      <c r="E7" s="156" t="s">
        <v>623</v>
      </c>
      <c r="F7" s="157">
        <v>124</v>
      </c>
      <c r="G7" s="156" t="s">
        <v>622</v>
      </c>
      <c r="H7" s="157">
        <v>8</v>
      </c>
      <c r="I7" s="158">
        <v>8</v>
      </c>
      <c r="J7" s="158" t="s">
        <v>624</v>
      </c>
      <c r="K7" s="159" t="s">
        <v>628</v>
      </c>
      <c r="L7" s="160" t="s">
        <v>629</v>
      </c>
      <c r="M7" s="160">
        <f>'PLANILHA - BM 15 CT'!E94</f>
        <v>3</v>
      </c>
      <c r="N7" s="160">
        <f>'PLANILHA - BM 15 CT'!F94</f>
        <v>1</v>
      </c>
      <c r="O7" s="160">
        <f>'PLANILHA - BM 15 CT'!G94</f>
        <v>0</v>
      </c>
      <c r="P7" s="160">
        <f t="shared" si="0"/>
        <v>1</v>
      </c>
      <c r="Q7" s="160">
        <f t="shared" si="1"/>
        <v>2</v>
      </c>
    </row>
    <row r="8" spans="1:18" ht="15" hidden="1" x14ac:dyDescent="0.25">
      <c r="A8" s="152" t="s">
        <v>621</v>
      </c>
      <c r="B8" s="153">
        <v>127</v>
      </c>
      <c r="C8" s="154" t="s">
        <v>622</v>
      </c>
      <c r="D8" s="155">
        <v>10</v>
      </c>
      <c r="E8" s="156" t="s">
        <v>623</v>
      </c>
      <c r="F8" s="157">
        <v>135</v>
      </c>
      <c r="G8" s="156" t="s">
        <v>622</v>
      </c>
      <c r="H8" s="157">
        <v>0</v>
      </c>
      <c r="I8" s="158">
        <v>150</v>
      </c>
      <c r="J8" s="158" t="s">
        <v>630</v>
      </c>
      <c r="K8" s="159" t="s">
        <v>628</v>
      </c>
      <c r="L8" s="160" t="s">
        <v>631</v>
      </c>
      <c r="M8" s="160">
        <f>'PLANILHA - BM 15 CT'!E95</f>
        <v>10</v>
      </c>
      <c r="N8" s="160">
        <f>'PLANILHA - BM 15 CT'!F95</f>
        <v>6</v>
      </c>
      <c r="O8" s="160">
        <f>'PLANILHA - BM 15 CT'!G95</f>
        <v>0</v>
      </c>
      <c r="P8" s="160">
        <f t="shared" si="0"/>
        <v>6</v>
      </c>
      <c r="Q8" s="160">
        <f t="shared" si="1"/>
        <v>4</v>
      </c>
    </row>
    <row r="9" spans="1:18" ht="15" hidden="1" x14ac:dyDescent="0.25">
      <c r="A9" s="152" t="s">
        <v>621</v>
      </c>
      <c r="B9" s="153">
        <v>128</v>
      </c>
      <c r="C9" s="154" t="s">
        <v>622</v>
      </c>
      <c r="D9" s="155">
        <v>9</v>
      </c>
      <c r="E9" s="156" t="s">
        <v>623</v>
      </c>
      <c r="F9" s="157">
        <v>128</v>
      </c>
      <c r="G9" s="156" t="s">
        <v>622</v>
      </c>
      <c r="H9" s="157">
        <v>9</v>
      </c>
      <c r="I9" s="158">
        <v>1</v>
      </c>
      <c r="J9" s="158" t="s">
        <v>632</v>
      </c>
      <c r="K9" s="159" t="s">
        <v>625</v>
      </c>
      <c r="L9" s="160" t="s">
        <v>633</v>
      </c>
      <c r="M9" s="160">
        <f>'PLANILHA - BM 15 CT'!E96</f>
        <v>1</v>
      </c>
      <c r="N9" s="160">
        <f>'PLANILHA - BM 15 CT'!F96</f>
        <v>1</v>
      </c>
      <c r="O9" s="160">
        <f>'PLANILHA - BM 15 CT'!G96</f>
        <v>0</v>
      </c>
      <c r="P9" s="160">
        <f t="shared" si="0"/>
        <v>1</v>
      </c>
      <c r="Q9" s="160">
        <f t="shared" si="1"/>
        <v>0</v>
      </c>
    </row>
    <row r="10" spans="1:18" ht="15" hidden="1" x14ac:dyDescent="0.25">
      <c r="A10" s="152" t="s">
        <v>621</v>
      </c>
      <c r="B10" s="153">
        <v>128</v>
      </c>
      <c r="C10" s="154" t="s">
        <v>622</v>
      </c>
      <c r="D10" s="155">
        <v>9</v>
      </c>
      <c r="E10" s="156" t="s">
        <v>623</v>
      </c>
      <c r="F10" s="157">
        <v>128</v>
      </c>
      <c r="G10" s="156" t="s">
        <v>622</v>
      </c>
      <c r="H10" s="157">
        <v>9</v>
      </c>
      <c r="I10" s="158">
        <v>6</v>
      </c>
      <c r="J10" s="158" t="s">
        <v>634</v>
      </c>
      <c r="K10" s="159" t="s">
        <v>625</v>
      </c>
      <c r="L10" s="160" t="s">
        <v>635</v>
      </c>
      <c r="M10" s="160">
        <f>'PLANILHA - BM 15 CT'!E100</f>
        <v>16</v>
      </c>
      <c r="N10" s="160">
        <f>'PLANILHA - BM 15 CT'!F100</f>
        <v>6</v>
      </c>
      <c r="O10" s="160">
        <f>'PLANILHA - BM 15 CT'!G100</f>
        <v>0</v>
      </c>
      <c r="P10" s="160">
        <f t="shared" si="0"/>
        <v>6</v>
      </c>
      <c r="Q10" s="160">
        <f t="shared" si="1"/>
        <v>10</v>
      </c>
    </row>
    <row r="11" spans="1:18" ht="15" hidden="1" x14ac:dyDescent="0.25">
      <c r="A11" s="152" t="s">
        <v>621</v>
      </c>
      <c r="B11" s="153">
        <v>128</v>
      </c>
      <c r="C11" s="154" t="s">
        <v>622</v>
      </c>
      <c r="D11" s="155">
        <v>0</v>
      </c>
      <c r="E11" s="156" t="s">
        <v>623</v>
      </c>
      <c r="F11" s="157">
        <v>128</v>
      </c>
      <c r="G11" s="156" t="s">
        <v>622</v>
      </c>
      <c r="H11" s="157">
        <v>0</v>
      </c>
      <c r="I11" s="158">
        <v>1</v>
      </c>
      <c r="J11" s="158" t="s">
        <v>632</v>
      </c>
      <c r="K11" s="159" t="s">
        <v>628</v>
      </c>
      <c r="L11" s="160" t="s">
        <v>636</v>
      </c>
      <c r="M11" s="160">
        <f>'PLANILHA - BM 15 CT'!E99</f>
        <v>7</v>
      </c>
      <c r="N11" s="160">
        <f>'PLANILHA - BM 15 CT'!F99</f>
        <v>7</v>
      </c>
      <c r="O11" s="160">
        <f>'PLANILHA - BM 15 CT'!G99</f>
        <v>0</v>
      </c>
      <c r="P11" s="160">
        <f t="shared" si="0"/>
        <v>7</v>
      </c>
      <c r="Q11" s="160">
        <f t="shared" si="1"/>
        <v>0</v>
      </c>
      <c r="R11" s="152">
        <v>2</v>
      </c>
    </row>
    <row r="12" spans="1:18" ht="15" hidden="1" x14ac:dyDescent="0.25">
      <c r="A12" s="152" t="s">
        <v>621</v>
      </c>
      <c r="B12" s="153">
        <v>128</v>
      </c>
      <c r="C12" s="154" t="s">
        <v>622</v>
      </c>
      <c r="D12" s="155">
        <v>0</v>
      </c>
      <c r="E12" s="156" t="s">
        <v>623</v>
      </c>
      <c r="F12" s="157">
        <v>128</v>
      </c>
      <c r="G12" s="156" t="s">
        <v>622</v>
      </c>
      <c r="H12" s="157">
        <v>0</v>
      </c>
      <c r="I12" s="158">
        <v>6</v>
      </c>
      <c r="J12" s="158" t="s">
        <v>634</v>
      </c>
      <c r="K12" s="159" t="s">
        <v>628</v>
      </c>
      <c r="L12" s="160" t="s">
        <v>637</v>
      </c>
      <c r="M12" s="160">
        <f>'PLANILHA - BM 15 CT'!E89</f>
        <v>6</v>
      </c>
      <c r="N12" s="160">
        <f>'PLANILHA - BM 15 CT'!F89</f>
        <v>4</v>
      </c>
      <c r="O12" s="160">
        <f>'PLANILHA - BM 15 CT'!G89</f>
        <v>0</v>
      </c>
      <c r="P12" s="160">
        <f t="shared" si="0"/>
        <v>4</v>
      </c>
      <c r="Q12" s="160">
        <f t="shared" si="1"/>
        <v>2</v>
      </c>
    </row>
    <row r="13" spans="1:18" ht="15" hidden="1" x14ac:dyDescent="0.25">
      <c r="A13" s="152" t="s">
        <v>621</v>
      </c>
      <c r="B13" s="153">
        <v>130</v>
      </c>
      <c r="C13" s="154" t="s">
        <v>622</v>
      </c>
      <c r="D13" s="155">
        <v>0</v>
      </c>
      <c r="E13" s="156" t="s">
        <v>623</v>
      </c>
      <c r="F13" s="157">
        <v>130</v>
      </c>
      <c r="G13" s="156" t="s">
        <v>622</v>
      </c>
      <c r="H13" s="157">
        <v>0</v>
      </c>
      <c r="I13" s="158">
        <v>1</v>
      </c>
      <c r="J13" s="158" t="s">
        <v>638</v>
      </c>
      <c r="K13" s="159" t="s">
        <v>628</v>
      </c>
      <c r="L13" s="160" t="s">
        <v>639</v>
      </c>
      <c r="M13" s="160">
        <f>'PLANILHA - BM 15 CT'!E90</f>
        <v>13</v>
      </c>
      <c r="N13" s="160">
        <f>'PLANILHA - BM 15 CT'!F90</f>
        <v>2</v>
      </c>
      <c r="O13" s="160">
        <f>'PLANILHA - BM 15 CT'!G90</f>
        <v>0</v>
      </c>
      <c r="P13" s="160">
        <f t="shared" si="0"/>
        <v>2</v>
      </c>
      <c r="Q13" s="160">
        <f t="shared" si="1"/>
        <v>11</v>
      </c>
    </row>
    <row r="14" spans="1:18" ht="15" hidden="1" x14ac:dyDescent="0.25">
      <c r="A14" s="152" t="s">
        <v>621</v>
      </c>
      <c r="B14" s="153">
        <v>130</v>
      </c>
      <c r="C14" s="154" t="s">
        <v>622</v>
      </c>
      <c r="D14" s="155">
        <v>0</v>
      </c>
      <c r="E14" s="156" t="s">
        <v>623</v>
      </c>
      <c r="F14" s="157">
        <v>130</v>
      </c>
      <c r="G14" s="156" t="s">
        <v>622</v>
      </c>
      <c r="H14" s="157">
        <v>0</v>
      </c>
      <c r="I14" s="158">
        <v>6</v>
      </c>
      <c r="J14" s="158" t="s">
        <v>634</v>
      </c>
      <c r="K14" s="159" t="s">
        <v>628</v>
      </c>
      <c r="L14" s="280" t="s">
        <v>640</v>
      </c>
      <c r="M14" s="280">
        <f>'PLANILHA - BM 15 CT'!E80</f>
        <v>1432</v>
      </c>
      <c r="N14" s="280">
        <f>'PLANILHA - BM 15 CT'!F80</f>
        <v>1432</v>
      </c>
      <c r="O14" s="280">
        <f>'PLANILHA - BM 15 CT'!G80</f>
        <v>0</v>
      </c>
      <c r="P14" s="160">
        <f t="shared" si="0"/>
        <v>1432</v>
      </c>
      <c r="Q14" s="160">
        <f t="shared" si="1"/>
        <v>0</v>
      </c>
      <c r="R14" s="152">
        <f>1472.92+323</f>
        <v>1795.92</v>
      </c>
    </row>
    <row r="15" spans="1:18" ht="15" hidden="1" x14ac:dyDescent="0.25">
      <c r="A15" s="152" t="s">
        <v>621</v>
      </c>
      <c r="B15" s="153">
        <v>130</v>
      </c>
      <c r="C15" s="154" t="s">
        <v>622</v>
      </c>
      <c r="D15" s="155">
        <v>0</v>
      </c>
      <c r="E15" s="156" t="s">
        <v>623</v>
      </c>
      <c r="F15" s="157">
        <v>130</v>
      </c>
      <c r="G15" s="156" t="s">
        <v>622</v>
      </c>
      <c r="H15" s="157">
        <v>0</v>
      </c>
      <c r="I15" s="158">
        <v>1</v>
      </c>
      <c r="J15" s="158" t="s">
        <v>638</v>
      </c>
      <c r="K15" s="159" t="s">
        <v>625</v>
      </c>
      <c r="L15" s="280" t="s">
        <v>641</v>
      </c>
      <c r="M15" s="280">
        <f>'PLANILHA - BM 15 CT'!E85</f>
        <v>61.5</v>
      </c>
      <c r="N15" s="280">
        <f>'PLANILHA - BM 15 CT'!F85</f>
        <v>61.498699999999999</v>
      </c>
      <c r="O15" s="280">
        <f>'PLANILHA - BM 15 CT'!G85</f>
        <v>0</v>
      </c>
      <c r="P15" s="160">
        <f>'PLANILHA - BM 15 CT'!H85</f>
        <v>61.498699999999999</v>
      </c>
      <c r="Q15" s="160">
        <f t="shared" si="1"/>
        <v>1.300000000000523E-3</v>
      </c>
      <c r="R15" s="152">
        <f>8.02</f>
        <v>8.02</v>
      </c>
    </row>
    <row r="16" spans="1:18" ht="15" hidden="1" x14ac:dyDescent="0.25">
      <c r="A16" s="152" t="s">
        <v>621</v>
      </c>
      <c r="B16" s="153">
        <v>130</v>
      </c>
      <c r="C16" s="154" t="s">
        <v>622</v>
      </c>
      <c r="D16" s="155">
        <v>0</v>
      </c>
      <c r="E16" s="156" t="s">
        <v>623</v>
      </c>
      <c r="F16" s="157">
        <v>130</v>
      </c>
      <c r="G16" s="156" t="s">
        <v>622</v>
      </c>
      <c r="H16" s="157">
        <v>0</v>
      </c>
      <c r="I16" s="158">
        <v>6</v>
      </c>
      <c r="J16" s="158" t="s">
        <v>634</v>
      </c>
      <c r="K16" s="159" t="s">
        <v>625</v>
      </c>
      <c r="L16" s="151"/>
      <c r="M16" s="151"/>
      <c r="N16" s="151"/>
      <c r="O16" s="151"/>
      <c r="P16" s="151"/>
      <c r="Q16" s="151"/>
    </row>
    <row r="17" spans="1:17" ht="15" hidden="1" x14ac:dyDescent="0.25">
      <c r="A17" s="152" t="s">
        <v>621</v>
      </c>
      <c r="B17" s="153">
        <v>132</v>
      </c>
      <c r="C17" s="154" t="s">
        <v>622</v>
      </c>
      <c r="D17" s="155">
        <v>0</v>
      </c>
      <c r="E17" s="156" t="s">
        <v>623</v>
      </c>
      <c r="F17" s="157">
        <v>132</v>
      </c>
      <c r="G17" s="156" t="s">
        <v>622</v>
      </c>
      <c r="H17" s="157">
        <v>0</v>
      </c>
      <c r="I17" s="158">
        <v>1</v>
      </c>
      <c r="J17" s="158" t="s">
        <v>632</v>
      </c>
      <c r="K17" s="159" t="s">
        <v>628</v>
      </c>
      <c r="L17" s="151"/>
      <c r="M17" s="151"/>
      <c r="N17" s="151"/>
      <c r="O17" s="151"/>
      <c r="P17" s="151"/>
      <c r="Q17" s="151"/>
    </row>
    <row r="18" spans="1:17" ht="15" hidden="1" x14ac:dyDescent="0.25">
      <c r="A18" s="152" t="s">
        <v>621</v>
      </c>
      <c r="B18" s="153">
        <v>132</v>
      </c>
      <c r="C18" s="154" t="s">
        <v>622</v>
      </c>
      <c r="D18" s="155">
        <v>0</v>
      </c>
      <c r="E18" s="156" t="s">
        <v>623</v>
      </c>
      <c r="F18" s="157">
        <v>132</v>
      </c>
      <c r="G18" s="156" t="s">
        <v>622</v>
      </c>
      <c r="H18" s="157">
        <v>0</v>
      </c>
      <c r="I18" s="158">
        <v>6</v>
      </c>
      <c r="J18" s="158" t="s">
        <v>634</v>
      </c>
      <c r="K18" s="159" t="s">
        <v>628</v>
      </c>
      <c r="L18" s="151"/>
      <c r="M18" s="151"/>
      <c r="N18" s="151"/>
      <c r="O18" s="151"/>
      <c r="P18" s="151"/>
      <c r="Q18" s="151"/>
    </row>
    <row r="19" spans="1:17" ht="15" hidden="1" x14ac:dyDescent="0.25">
      <c r="A19" s="152" t="s">
        <v>621</v>
      </c>
      <c r="B19" s="153">
        <v>132</v>
      </c>
      <c r="C19" s="154" t="s">
        <v>622</v>
      </c>
      <c r="D19" s="155">
        <v>0</v>
      </c>
      <c r="E19" s="156" t="s">
        <v>623</v>
      </c>
      <c r="F19" s="157">
        <v>132</v>
      </c>
      <c r="G19" s="156" t="s">
        <v>622</v>
      </c>
      <c r="H19" s="157">
        <v>0</v>
      </c>
      <c r="I19" s="158">
        <v>1</v>
      </c>
      <c r="J19" s="158" t="s">
        <v>632</v>
      </c>
      <c r="K19" s="159" t="s">
        <v>625</v>
      </c>
      <c r="L19" s="151"/>
      <c r="M19" s="151"/>
      <c r="N19" s="151"/>
      <c r="O19" s="151"/>
      <c r="P19" s="151"/>
      <c r="Q19" s="151"/>
    </row>
    <row r="20" spans="1:17" ht="15" hidden="1" x14ac:dyDescent="0.25">
      <c r="A20" s="152" t="s">
        <v>621</v>
      </c>
      <c r="B20" s="153">
        <v>132</v>
      </c>
      <c r="C20" s="154" t="s">
        <v>622</v>
      </c>
      <c r="D20" s="155">
        <v>0</v>
      </c>
      <c r="E20" s="156" t="s">
        <v>623</v>
      </c>
      <c r="F20" s="157">
        <v>132</v>
      </c>
      <c r="G20" s="156" t="s">
        <v>622</v>
      </c>
      <c r="H20" s="157">
        <v>0</v>
      </c>
      <c r="I20" s="158">
        <v>6</v>
      </c>
      <c r="J20" s="158" t="s">
        <v>634</v>
      </c>
      <c r="K20" s="159" t="s">
        <v>625</v>
      </c>
      <c r="L20" s="151"/>
      <c r="M20" s="151"/>
      <c r="N20" s="151"/>
      <c r="O20" s="151"/>
      <c r="P20" s="151"/>
      <c r="Q20" s="151"/>
    </row>
    <row r="21" spans="1:17" ht="15" hidden="1" x14ac:dyDescent="0.25">
      <c r="A21" s="152" t="s">
        <v>621</v>
      </c>
      <c r="B21" s="153">
        <v>134</v>
      </c>
      <c r="C21" s="154" t="s">
        <v>622</v>
      </c>
      <c r="D21" s="155">
        <v>0</v>
      </c>
      <c r="E21" s="156" t="s">
        <v>623</v>
      </c>
      <c r="F21" s="157">
        <v>134</v>
      </c>
      <c r="G21" s="156" t="s">
        <v>622</v>
      </c>
      <c r="H21" s="157">
        <v>0</v>
      </c>
      <c r="I21" s="158">
        <v>1</v>
      </c>
      <c r="J21" s="158" t="s">
        <v>632</v>
      </c>
      <c r="K21" s="159" t="s">
        <v>628</v>
      </c>
      <c r="L21" s="151"/>
      <c r="M21" s="151"/>
      <c r="N21" s="151"/>
      <c r="O21" s="151"/>
      <c r="P21" s="151"/>
      <c r="Q21" s="151"/>
    </row>
    <row r="22" spans="1:17" ht="15" hidden="1" x14ac:dyDescent="0.25">
      <c r="A22" s="152" t="s">
        <v>621</v>
      </c>
      <c r="B22" s="153">
        <v>134</v>
      </c>
      <c r="C22" s="154" t="s">
        <v>622</v>
      </c>
      <c r="D22" s="155">
        <v>0</v>
      </c>
      <c r="E22" s="156" t="s">
        <v>623</v>
      </c>
      <c r="F22" s="157">
        <v>134</v>
      </c>
      <c r="G22" s="156" t="s">
        <v>622</v>
      </c>
      <c r="H22" s="157">
        <v>0</v>
      </c>
      <c r="I22" s="158">
        <v>2</v>
      </c>
      <c r="J22" s="158" t="s">
        <v>641</v>
      </c>
      <c r="K22" s="159" t="s">
        <v>628</v>
      </c>
      <c r="L22" s="151"/>
      <c r="M22" s="151"/>
      <c r="N22" s="151"/>
      <c r="O22" s="151"/>
      <c r="P22" s="151"/>
      <c r="Q22" s="151"/>
    </row>
    <row r="23" spans="1:17" hidden="1" x14ac:dyDescent="0.2">
      <c r="A23" s="152" t="s">
        <v>621</v>
      </c>
      <c r="B23" s="293">
        <v>134</v>
      </c>
      <c r="C23" s="293" t="s">
        <v>622</v>
      </c>
      <c r="D23" s="293">
        <v>0</v>
      </c>
      <c r="E23" s="293" t="s">
        <v>623</v>
      </c>
      <c r="F23" s="291">
        <v>134</v>
      </c>
      <c r="G23" s="292" t="s">
        <v>622</v>
      </c>
      <c r="H23" s="291">
        <v>0</v>
      </c>
      <c r="I23" s="294">
        <v>1</v>
      </c>
      <c r="J23" s="294" t="s">
        <v>632</v>
      </c>
      <c r="K23" s="294" t="s">
        <v>625</v>
      </c>
      <c r="L23" s="151"/>
      <c r="M23" s="151"/>
      <c r="N23" s="151"/>
      <c r="O23" s="151"/>
      <c r="P23" s="151"/>
      <c r="Q23" s="151"/>
    </row>
    <row r="24" spans="1:17" hidden="1" x14ac:dyDescent="0.2">
      <c r="A24" s="152" t="s">
        <v>621</v>
      </c>
      <c r="B24" s="293">
        <v>134</v>
      </c>
      <c r="C24" s="293" t="s">
        <v>622</v>
      </c>
      <c r="D24" s="293">
        <v>0</v>
      </c>
      <c r="E24" s="293" t="s">
        <v>623</v>
      </c>
      <c r="F24" s="291">
        <v>134</v>
      </c>
      <c r="G24" s="292" t="s">
        <v>622</v>
      </c>
      <c r="H24" s="291">
        <v>0</v>
      </c>
      <c r="I24" s="294">
        <v>2</v>
      </c>
      <c r="J24" s="294" t="s">
        <v>641</v>
      </c>
      <c r="K24" s="294" t="s">
        <v>625</v>
      </c>
      <c r="L24" s="151"/>
      <c r="M24" s="151"/>
      <c r="N24" s="151"/>
      <c r="O24" s="151"/>
      <c r="P24" s="151"/>
      <c r="Q24" s="151"/>
    </row>
    <row r="25" spans="1:17" hidden="1" x14ac:dyDescent="0.2">
      <c r="A25" s="152" t="s">
        <v>621</v>
      </c>
      <c r="B25" s="293">
        <v>146</v>
      </c>
      <c r="C25" s="293" t="s">
        <v>622</v>
      </c>
      <c r="D25" s="293">
        <v>0</v>
      </c>
      <c r="E25" s="293" t="s">
        <v>623</v>
      </c>
      <c r="F25" s="291">
        <v>146</v>
      </c>
      <c r="G25" s="293" t="s">
        <v>622</v>
      </c>
      <c r="H25" s="291">
        <v>7</v>
      </c>
      <c r="I25" s="294">
        <v>7</v>
      </c>
      <c r="J25" s="294" t="s">
        <v>624</v>
      </c>
      <c r="K25" s="294" t="s">
        <v>628</v>
      </c>
      <c r="L25" s="151"/>
      <c r="M25" s="151"/>
      <c r="N25" s="151"/>
      <c r="O25" s="151"/>
      <c r="P25" s="151"/>
      <c r="Q25" s="151"/>
    </row>
    <row r="26" spans="1:17" ht="15" hidden="1" x14ac:dyDescent="0.2">
      <c r="A26" s="152" t="s">
        <v>621</v>
      </c>
      <c r="B26" s="293">
        <v>172</v>
      </c>
      <c r="C26" s="293" t="s">
        <v>622</v>
      </c>
      <c r="D26" s="293">
        <v>0</v>
      </c>
      <c r="E26" s="295" t="s">
        <v>623</v>
      </c>
      <c r="F26" s="291">
        <v>175</v>
      </c>
      <c r="G26" s="293" t="s">
        <v>622</v>
      </c>
      <c r="H26" s="291">
        <v>6</v>
      </c>
      <c r="I26" s="294">
        <v>66</v>
      </c>
      <c r="J26" s="158" t="s">
        <v>630</v>
      </c>
      <c r="K26" s="294" t="s">
        <v>628</v>
      </c>
      <c r="L26" s="151"/>
      <c r="M26" s="151"/>
      <c r="N26" s="151"/>
      <c r="O26" s="151"/>
      <c r="P26" s="151"/>
      <c r="Q26" s="151"/>
    </row>
    <row r="27" spans="1:17" ht="15" hidden="1" x14ac:dyDescent="0.2">
      <c r="A27" s="152" t="s">
        <v>621</v>
      </c>
      <c r="B27" s="293">
        <v>176</v>
      </c>
      <c r="C27" s="293" t="s">
        <v>622</v>
      </c>
      <c r="D27" s="293">
        <v>0</v>
      </c>
      <c r="E27" s="295" t="s">
        <v>623</v>
      </c>
      <c r="F27" s="291">
        <v>179</v>
      </c>
      <c r="G27" s="293" t="s">
        <v>622</v>
      </c>
      <c r="H27" s="291">
        <v>9</v>
      </c>
      <c r="I27" s="294">
        <v>69</v>
      </c>
      <c r="J27" s="158" t="s">
        <v>630</v>
      </c>
      <c r="K27" s="294" t="s">
        <v>628</v>
      </c>
      <c r="L27" s="151"/>
      <c r="M27" s="151"/>
      <c r="N27" s="151"/>
      <c r="O27" s="151"/>
      <c r="P27" s="151"/>
      <c r="Q27" s="151"/>
    </row>
    <row r="28" spans="1:17" hidden="1" x14ac:dyDescent="0.2">
      <c r="A28" s="152" t="s">
        <v>621</v>
      </c>
      <c r="B28" s="293">
        <v>178</v>
      </c>
      <c r="C28" s="293" t="s">
        <v>622</v>
      </c>
      <c r="D28" s="293">
        <v>0</v>
      </c>
      <c r="E28" s="295" t="s">
        <v>623</v>
      </c>
      <c r="F28" s="291">
        <v>178</v>
      </c>
      <c r="G28" s="293" t="s">
        <v>622</v>
      </c>
      <c r="H28" s="291">
        <v>0</v>
      </c>
      <c r="I28" s="294">
        <v>1</v>
      </c>
      <c r="J28" s="294" t="s">
        <v>632</v>
      </c>
      <c r="K28" s="294" t="s">
        <v>628</v>
      </c>
      <c r="L28" s="151"/>
      <c r="M28" s="151"/>
      <c r="N28" s="151"/>
      <c r="O28" s="151"/>
      <c r="P28" s="151"/>
      <c r="Q28" s="151"/>
    </row>
    <row r="29" spans="1:17" hidden="1" x14ac:dyDescent="0.2">
      <c r="A29" s="152" t="s">
        <v>621</v>
      </c>
      <c r="B29" s="293">
        <v>178</v>
      </c>
      <c r="C29" s="293" t="s">
        <v>622</v>
      </c>
      <c r="D29" s="293">
        <v>0</v>
      </c>
      <c r="E29" s="295" t="s">
        <v>623</v>
      </c>
      <c r="F29" s="291">
        <v>178</v>
      </c>
      <c r="G29" s="293" t="s">
        <v>622</v>
      </c>
      <c r="H29" s="291">
        <v>0</v>
      </c>
      <c r="I29" s="294">
        <v>1</v>
      </c>
      <c r="J29" s="294" t="s">
        <v>632</v>
      </c>
      <c r="K29" s="294" t="s">
        <v>628</v>
      </c>
      <c r="L29" s="151"/>
      <c r="M29" s="151"/>
      <c r="N29" s="151"/>
      <c r="O29" s="151"/>
      <c r="P29" s="151"/>
      <c r="Q29" s="151"/>
    </row>
    <row r="30" spans="1:17" hidden="1" x14ac:dyDescent="0.2">
      <c r="A30" s="152" t="s">
        <v>621</v>
      </c>
      <c r="B30" s="293">
        <v>179</v>
      </c>
      <c r="C30" s="293" t="s">
        <v>622</v>
      </c>
      <c r="D30" s="293">
        <v>15</v>
      </c>
      <c r="E30" s="295" t="s">
        <v>623</v>
      </c>
      <c r="F30" s="291">
        <v>192</v>
      </c>
      <c r="G30" s="293" t="s">
        <v>622</v>
      </c>
      <c r="H30" s="291">
        <v>0</v>
      </c>
      <c r="I30" s="294">
        <v>245</v>
      </c>
      <c r="J30" s="294" t="s">
        <v>626</v>
      </c>
      <c r="K30" s="294" t="s">
        <v>625</v>
      </c>
      <c r="L30" s="151"/>
      <c r="M30" s="151"/>
      <c r="N30" s="151"/>
      <c r="O30" s="151"/>
      <c r="P30" s="151"/>
      <c r="Q30" s="151"/>
    </row>
    <row r="31" spans="1:17" hidden="1" x14ac:dyDescent="0.2">
      <c r="A31" s="152" t="s">
        <v>621</v>
      </c>
      <c r="B31" s="293">
        <v>197</v>
      </c>
      <c r="C31" s="293" t="s">
        <v>622</v>
      </c>
      <c r="D31" s="293">
        <v>0</v>
      </c>
      <c r="E31" s="295" t="s">
        <v>623</v>
      </c>
      <c r="F31" s="291">
        <v>204</v>
      </c>
      <c r="G31" s="293" t="s">
        <v>622</v>
      </c>
      <c r="H31" s="291">
        <v>3</v>
      </c>
      <c r="I31" s="294">
        <v>143</v>
      </c>
      <c r="J31" s="294" t="s">
        <v>642</v>
      </c>
      <c r="K31" s="294" t="s">
        <v>625</v>
      </c>
      <c r="L31" s="151"/>
      <c r="M31" s="151"/>
      <c r="N31" s="151"/>
      <c r="O31" s="151"/>
      <c r="P31" s="151"/>
      <c r="Q31" s="151"/>
    </row>
    <row r="32" spans="1:17" ht="15" hidden="1" x14ac:dyDescent="0.2">
      <c r="A32" s="152" t="s">
        <v>621</v>
      </c>
      <c r="B32" s="293">
        <v>233</v>
      </c>
      <c r="C32" s="293" t="s">
        <v>622</v>
      </c>
      <c r="D32" s="293">
        <v>0</v>
      </c>
      <c r="E32" s="295" t="s">
        <v>623</v>
      </c>
      <c r="F32" s="291">
        <v>236</v>
      </c>
      <c r="G32" s="293" t="s">
        <v>622</v>
      </c>
      <c r="H32" s="291">
        <v>8</v>
      </c>
      <c r="I32" s="294">
        <v>68</v>
      </c>
      <c r="J32" s="158" t="s">
        <v>630</v>
      </c>
      <c r="K32" s="294" t="s">
        <v>628</v>
      </c>
      <c r="L32" s="151"/>
      <c r="M32" s="151"/>
      <c r="N32" s="151"/>
      <c r="O32" s="151"/>
      <c r="P32" s="151"/>
      <c r="Q32" s="151"/>
    </row>
    <row r="33" spans="1:17" hidden="1" x14ac:dyDescent="0.2">
      <c r="A33" s="152" t="s">
        <v>621</v>
      </c>
      <c r="B33" s="293">
        <v>239</v>
      </c>
      <c r="C33" s="293" t="s">
        <v>622</v>
      </c>
      <c r="D33" s="293">
        <v>0</v>
      </c>
      <c r="E33" s="295" t="s">
        <v>623</v>
      </c>
      <c r="F33" s="291">
        <v>241</v>
      </c>
      <c r="G33" s="293" t="s">
        <v>622</v>
      </c>
      <c r="H33" s="291">
        <v>17</v>
      </c>
      <c r="I33" s="294">
        <v>57</v>
      </c>
      <c r="J33" s="294" t="s">
        <v>626</v>
      </c>
      <c r="K33" s="294" t="s">
        <v>625</v>
      </c>
      <c r="L33" s="151"/>
      <c r="M33" s="151"/>
      <c r="N33" s="151"/>
      <c r="O33" s="151"/>
      <c r="P33" s="151"/>
      <c r="Q33" s="151"/>
    </row>
    <row r="34" spans="1:17" ht="15" hidden="1" x14ac:dyDescent="0.2">
      <c r="A34" s="152" t="s">
        <v>621</v>
      </c>
      <c r="B34" s="293">
        <v>242</v>
      </c>
      <c r="C34" s="293" t="s">
        <v>622</v>
      </c>
      <c r="D34" s="293">
        <v>0</v>
      </c>
      <c r="E34" s="295" t="s">
        <v>623</v>
      </c>
      <c r="F34" s="291">
        <v>248</v>
      </c>
      <c r="G34" s="293" t="s">
        <v>622</v>
      </c>
      <c r="H34" s="291">
        <v>3</v>
      </c>
      <c r="I34" s="294">
        <v>123</v>
      </c>
      <c r="J34" s="158" t="s">
        <v>630</v>
      </c>
      <c r="K34" s="294" t="s">
        <v>628</v>
      </c>
      <c r="L34" s="151"/>
      <c r="M34" s="151"/>
      <c r="N34" s="151"/>
      <c r="O34" s="151"/>
      <c r="P34" s="151"/>
      <c r="Q34" s="151"/>
    </row>
    <row r="35" spans="1:17" hidden="1" x14ac:dyDescent="0.2">
      <c r="A35" s="152" t="s">
        <v>621</v>
      </c>
      <c r="B35" s="293">
        <v>311</v>
      </c>
      <c r="C35" s="293" t="s">
        <v>622</v>
      </c>
      <c r="D35" s="293">
        <v>0</v>
      </c>
      <c r="E35" s="295" t="s">
        <v>623</v>
      </c>
      <c r="F35" s="291">
        <v>315</v>
      </c>
      <c r="G35" s="293" t="s">
        <v>622</v>
      </c>
      <c r="H35" s="291">
        <v>9.5</v>
      </c>
      <c r="I35" s="294">
        <v>89.5</v>
      </c>
      <c r="J35" s="294" t="s">
        <v>626</v>
      </c>
      <c r="K35" s="294" t="s">
        <v>625</v>
      </c>
      <c r="L35" s="151"/>
      <c r="M35" s="151"/>
      <c r="N35" s="151"/>
      <c r="O35" s="151"/>
      <c r="P35" s="151"/>
      <c r="Q35" s="151"/>
    </row>
    <row r="36" spans="1:17" hidden="1" x14ac:dyDescent="0.2">
      <c r="A36" s="152" t="s">
        <v>621</v>
      </c>
      <c r="B36" s="293">
        <v>197</v>
      </c>
      <c r="C36" s="293" t="s">
        <v>622</v>
      </c>
      <c r="D36" s="293">
        <v>0</v>
      </c>
      <c r="E36" s="295" t="s">
        <v>623</v>
      </c>
      <c r="F36" s="291">
        <v>203</v>
      </c>
      <c r="G36" s="293" t="s">
        <v>622</v>
      </c>
      <c r="H36" s="291">
        <v>2</v>
      </c>
      <c r="I36" s="294">
        <v>122</v>
      </c>
      <c r="J36" s="294" t="s">
        <v>626</v>
      </c>
      <c r="K36" s="294" t="s">
        <v>628</v>
      </c>
      <c r="L36" s="151"/>
      <c r="M36" s="151"/>
      <c r="N36" s="151"/>
      <c r="O36" s="151"/>
      <c r="P36" s="151"/>
      <c r="Q36" s="151"/>
    </row>
    <row r="37" spans="1:17" ht="15" hidden="1" x14ac:dyDescent="0.2">
      <c r="A37" s="152" t="s">
        <v>621</v>
      </c>
      <c r="B37" s="293">
        <v>122</v>
      </c>
      <c r="C37" s="293" t="s">
        <v>622</v>
      </c>
      <c r="D37" s="293">
        <v>10</v>
      </c>
      <c r="E37" s="295" t="s">
        <v>623</v>
      </c>
      <c r="F37" s="291">
        <v>127</v>
      </c>
      <c r="G37" s="293" t="s">
        <v>622</v>
      </c>
      <c r="H37" s="291">
        <v>0</v>
      </c>
      <c r="I37" s="294">
        <v>90</v>
      </c>
      <c r="J37" s="158" t="s">
        <v>630</v>
      </c>
      <c r="K37" s="294" t="s">
        <v>625</v>
      </c>
      <c r="L37" s="151"/>
      <c r="M37" s="151"/>
      <c r="N37" s="151"/>
      <c r="O37" s="151"/>
      <c r="P37" s="151"/>
      <c r="Q37" s="151"/>
    </row>
    <row r="38" spans="1:17" ht="15" hidden="1" x14ac:dyDescent="0.2">
      <c r="A38" s="152" t="s">
        <v>621</v>
      </c>
      <c r="B38" s="293">
        <v>127</v>
      </c>
      <c r="C38" s="293" t="s">
        <v>622</v>
      </c>
      <c r="D38" s="293">
        <v>0</v>
      </c>
      <c r="E38" s="295" t="s">
        <v>623</v>
      </c>
      <c r="F38" s="291">
        <v>135</v>
      </c>
      <c r="G38" s="293" t="s">
        <v>622</v>
      </c>
      <c r="H38" s="291">
        <v>0</v>
      </c>
      <c r="I38" s="294">
        <v>160</v>
      </c>
      <c r="J38" s="158" t="s">
        <v>630</v>
      </c>
      <c r="K38" s="294" t="s">
        <v>625</v>
      </c>
      <c r="L38" s="151"/>
      <c r="M38" s="151"/>
      <c r="N38" s="151"/>
      <c r="O38" s="151"/>
      <c r="P38" s="151"/>
      <c r="Q38" s="151"/>
    </row>
    <row r="39" spans="1:17" ht="15" hidden="1" x14ac:dyDescent="0.2">
      <c r="A39" s="152" t="s">
        <v>621</v>
      </c>
      <c r="B39" s="293">
        <v>226</v>
      </c>
      <c r="C39" s="293" t="s">
        <v>622</v>
      </c>
      <c r="D39" s="293">
        <v>5</v>
      </c>
      <c r="E39" s="295" t="s">
        <v>623</v>
      </c>
      <c r="F39" s="291">
        <v>236</v>
      </c>
      <c r="G39" s="293" t="s">
        <v>622</v>
      </c>
      <c r="H39" s="291">
        <v>17</v>
      </c>
      <c r="I39" s="294">
        <v>212</v>
      </c>
      <c r="J39" s="158" t="s">
        <v>630</v>
      </c>
      <c r="K39" s="294" t="s">
        <v>625</v>
      </c>
      <c r="L39" s="151"/>
      <c r="M39" s="151"/>
      <c r="N39" s="151"/>
      <c r="O39" s="151"/>
      <c r="P39" s="151"/>
      <c r="Q39" s="151"/>
    </row>
    <row r="40" spans="1:17" ht="15" hidden="1" x14ac:dyDescent="0.2">
      <c r="A40" s="152" t="s">
        <v>621</v>
      </c>
      <c r="B40" s="293">
        <v>241</v>
      </c>
      <c r="C40" s="293" t="s">
        <v>622</v>
      </c>
      <c r="D40" s="293">
        <v>17</v>
      </c>
      <c r="E40" s="295" t="s">
        <v>623</v>
      </c>
      <c r="F40" s="291">
        <v>248</v>
      </c>
      <c r="G40" s="293" t="s">
        <v>622</v>
      </c>
      <c r="H40" s="291">
        <v>5</v>
      </c>
      <c r="I40" s="294">
        <v>128</v>
      </c>
      <c r="J40" s="158" t="s">
        <v>630</v>
      </c>
      <c r="K40" s="294" t="s">
        <v>625</v>
      </c>
      <c r="L40" s="151"/>
      <c r="M40" s="151"/>
      <c r="N40" s="151"/>
      <c r="O40" s="151"/>
      <c r="P40" s="151"/>
      <c r="Q40" s="151"/>
    </row>
    <row r="41" spans="1:17" ht="15" hidden="1" x14ac:dyDescent="0.2">
      <c r="A41" s="152" t="s">
        <v>643</v>
      </c>
      <c r="B41" s="293">
        <v>28</v>
      </c>
      <c r="C41" s="293" t="s">
        <v>622</v>
      </c>
      <c r="D41" s="293">
        <v>0</v>
      </c>
      <c r="E41" s="295"/>
      <c r="F41" s="291"/>
      <c r="G41" s="293"/>
      <c r="H41" s="291"/>
      <c r="I41" s="320">
        <v>1</v>
      </c>
      <c r="J41" s="158" t="s">
        <v>644</v>
      </c>
      <c r="K41" s="321" t="s">
        <v>625</v>
      </c>
      <c r="L41" s="151"/>
      <c r="M41" s="151"/>
      <c r="N41" s="151"/>
      <c r="O41" s="151"/>
      <c r="P41" s="151"/>
      <c r="Q41" s="151"/>
    </row>
    <row r="42" spans="1:17" ht="15" hidden="1" x14ac:dyDescent="0.2">
      <c r="A42" s="152" t="s">
        <v>643</v>
      </c>
      <c r="B42" s="293">
        <v>20</v>
      </c>
      <c r="C42" s="293" t="s">
        <v>622</v>
      </c>
      <c r="D42" s="293">
        <v>0</v>
      </c>
      <c r="E42" s="295"/>
      <c r="F42" s="291"/>
      <c r="G42" s="293"/>
      <c r="H42" s="291"/>
      <c r="I42" s="320">
        <v>1</v>
      </c>
      <c r="J42" s="158" t="s">
        <v>644</v>
      </c>
      <c r="K42" s="321" t="s">
        <v>628</v>
      </c>
      <c r="L42" s="151"/>
      <c r="M42" s="151"/>
      <c r="N42" s="151"/>
      <c r="O42" s="151"/>
      <c r="P42" s="151"/>
      <c r="Q42" s="151"/>
    </row>
    <row r="43" spans="1:17" ht="15" hidden="1" x14ac:dyDescent="0.2">
      <c r="A43" s="152" t="s">
        <v>643</v>
      </c>
      <c r="B43" s="293">
        <v>17</v>
      </c>
      <c r="C43" s="293" t="s">
        <v>622</v>
      </c>
      <c r="D43" s="293">
        <v>0</v>
      </c>
      <c r="E43" s="295"/>
      <c r="F43" s="291"/>
      <c r="G43" s="293"/>
      <c r="H43" s="291"/>
      <c r="I43" s="320">
        <v>1</v>
      </c>
      <c r="J43" s="158" t="s">
        <v>644</v>
      </c>
      <c r="K43" s="321" t="s">
        <v>628</v>
      </c>
      <c r="L43" s="151"/>
      <c r="M43" s="151"/>
      <c r="N43" s="151"/>
      <c r="O43" s="151"/>
      <c r="P43" s="151"/>
      <c r="Q43" s="151"/>
    </row>
    <row r="44" spans="1:17" ht="15" hidden="1" x14ac:dyDescent="0.2">
      <c r="A44" s="152" t="s">
        <v>643</v>
      </c>
      <c r="B44" s="293">
        <v>128</v>
      </c>
      <c r="C44" s="293" t="s">
        <v>622</v>
      </c>
      <c r="D44" s="293">
        <v>0</v>
      </c>
      <c r="E44" s="295"/>
      <c r="F44" s="291"/>
      <c r="G44" s="293"/>
      <c r="H44" s="291"/>
      <c r="I44" s="320">
        <v>2</v>
      </c>
      <c r="J44" s="158" t="s">
        <v>645</v>
      </c>
      <c r="K44" s="321" t="s">
        <v>646</v>
      </c>
      <c r="L44" s="151"/>
      <c r="M44" s="151"/>
      <c r="N44" s="151"/>
      <c r="O44" s="151"/>
      <c r="P44" s="151"/>
      <c r="Q44" s="151"/>
    </row>
    <row r="45" spans="1:17" ht="15" hidden="1" x14ac:dyDescent="0.2">
      <c r="A45" s="152" t="s">
        <v>643</v>
      </c>
      <c r="B45" s="293">
        <v>130</v>
      </c>
      <c r="C45" s="293" t="s">
        <v>622</v>
      </c>
      <c r="D45" s="293">
        <v>0</v>
      </c>
      <c r="E45" s="295"/>
      <c r="F45" s="291"/>
      <c r="G45" s="293"/>
      <c r="H45" s="291"/>
      <c r="I45" s="320">
        <v>2</v>
      </c>
      <c r="J45" s="158" t="s">
        <v>647</v>
      </c>
      <c r="K45" s="321" t="s">
        <v>646</v>
      </c>
      <c r="L45" s="151"/>
      <c r="M45" s="151"/>
      <c r="N45" s="151"/>
      <c r="O45" s="151"/>
      <c r="P45" s="151"/>
      <c r="Q45" s="151"/>
    </row>
    <row r="46" spans="1:17" ht="15" hidden="1" x14ac:dyDescent="0.2">
      <c r="A46" s="152" t="s">
        <v>643</v>
      </c>
      <c r="B46" s="293">
        <v>132</v>
      </c>
      <c r="C46" s="293" t="s">
        <v>622</v>
      </c>
      <c r="D46" s="293">
        <v>0</v>
      </c>
      <c r="E46" s="295"/>
      <c r="F46" s="291"/>
      <c r="G46" s="293"/>
      <c r="H46" s="291"/>
      <c r="I46" s="320">
        <v>2</v>
      </c>
      <c r="J46" s="158" t="s">
        <v>648</v>
      </c>
      <c r="K46" s="321" t="s">
        <v>646</v>
      </c>
      <c r="L46" s="151"/>
      <c r="M46" s="151"/>
      <c r="N46" s="151"/>
      <c r="O46" s="151"/>
      <c r="P46" s="151"/>
      <c r="Q46" s="151"/>
    </row>
    <row r="47" spans="1:17" ht="15" hidden="1" x14ac:dyDescent="0.2">
      <c r="A47" s="152" t="s">
        <v>643</v>
      </c>
      <c r="B47" s="293">
        <v>203</v>
      </c>
      <c r="C47" s="293" t="s">
        <v>622</v>
      </c>
      <c r="D47" s="293">
        <v>1</v>
      </c>
      <c r="E47" s="295"/>
      <c r="F47" s="291"/>
      <c r="G47" s="293"/>
      <c r="H47" s="291"/>
      <c r="I47" s="320">
        <v>1</v>
      </c>
      <c r="J47" s="158" t="s">
        <v>649</v>
      </c>
      <c r="K47" s="321" t="s">
        <v>628</v>
      </c>
      <c r="L47" s="151"/>
      <c r="M47" s="151"/>
      <c r="N47" s="151"/>
      <c r="O47" s="151"/>
      <c r="P47" s="151"/>
      <c r="Q47" s="151"/>
    </row>
    <row r="48" spans="1:17" ht="15" hidden="1" x14ac:dyDescent="0.2">
      <c r="A48" s="152" t="s">
        <v>643</v>
      </c>
      <c r="B48" s="293">
        <v>204</v>
      </c>
      <c r="C48" s="293" t="s">
        <v>622</v>
      </c>
      <c r="D48" s="293">
        <v>2</v>
      </c>
      <c r="E48" s="295"/>
      <c r="F48" s="291"/>
      <c r="G48" s="293"/>
      <c r="H48" s="291"/>
      <c r="I48" s="320">
        <v>1</v>
      </c>
      <c r="J48" s="158" t="s">
        <v>649</v>
      </c>
      <c r="K48" s="321" t="s">
        <v>625</v>
      </c>
      <c r="L48" s="151"/>
      <c r="M48" s="151"/>
      <c r="N48" s="151"/>
      <c r="O48" s="151"/>
      <c r="P48" s="151"/>
      <c r="Q48" s="151"/>
    </row>
    <row r="49" spans="1:17" ht="15" hidden="1" x14ac:dyDescent="0.2">
      <c r="A49" s="152" t="s">
        <v>643</v>
      </c>
      <c r="B49" s="293">
        <v>281</v>
      </c>
      <c r="C49" s="293" t="s">
        <v>622</v>
      </c>
      <c r="D49" s="293">
        <v>3</v>
      </c>
      <c r="E49" s="295"/>
      <c r="F49" s="291"/>
      <c r="G49" s="293"/>
      <c r="H49" s="291"/>
      <c r="I49" s="320">
        <v>1</v>
      </c>
      <c r="J49" s="158" t="s">
        <v>649</v>
      </c>
      <c r="K49" s="321" t="s">
        <v>625</v>
      </c>
      <c r="L49" s="151"/>
      <c r="M49" s="151"/>
      <c r="N49" s="151"/>
      <c r="O49" s="151"/>
      <c r="P49" s="151"/>
      <c r="Q49" s="151"/>
    </row>
    <row r="50" spans="1:17" ht="15" hidden="1" x14ac:dyDescent="0.2">
      <c r="A50" s="152" t="s">
        <v>643</v>
      </c>
      <c r="B50" s="293">
        <v>297</v>
      </c>
      <c r="C50" s="293" t="s">
        <v>622</v>
      </c>
      <c r="D50" s="293">
        <v>4</v>
      </c>
      <c r="E50" s="295"/>
      <c r="F50" s="291"/>
      <c r="G50" s="293"/>
      <c r="H50" s="291"/>
      <c r="I50" s="320">
        <v>1</v>
      </c>
      <c r="J50" s="158" t="s">
        <v>649</v>
      </c>
      <c r="K50" s="321" t="s">
        <v>628</v>
      </c>
      <c r="L50" s="151"/>
      <c r="M50" s="151"/>
      <c r="N50" s="151"/>
      <c r="O50" s="151"/>
      <c r="P50" s="151"/>
      <c r="Q50" s="151"/>
    </row>
    <row r="51" spans="1:17" hidden="1" x14ac:dyDescent="0.2">
      <c r="A51" s="152" t="s">
        <v>643</v>
      </c>
      <c r="B51" s="293">
        <v>251</v>
      </c>
      <c r="C51" s="295" t="s">
        <v>622</v>
      </c>
      <c r="D51" s="293">
        <v>3</v>
      </c>
      <c r="E51" s="295" t="s">
        <v>623</v>
      </c>
      <c r="F51" s="291">
        <v>260</v>
      </c>
      <c r="G51" s="295" t="s">
        <v>622</v>
      </c>
      <c r="H51" s="291">
        <v>3</v>
      </c>
      <c r="I51" s="294">
        <f>((F51*20)+H51)-((B51*20)+D51)</f>
        <v>180</v>
      </c>
      <c r="J51" s="322" t="s">
        <v>626</v>
      </c>
      <c r="K51" s="294" t="s">
        <v>628</v>
      </c>
      <c r="L51" s="151"/>
      <c r="M51" s="151"/>
      <c r="N51" s="151"/>
      <c r="O51" s="151"/>
      <c r="P51" s="151"/>
      <c r="Q51" s="151"/>
    </row>
    <row r="52" spans="1:17" hidden="1" x14ac:dyDescent="0.2">
      <c r="A52" s="152" t="s">
        <v>643</v>
      </c>
      <c r="B52" s="293">
        <v>293</v>
      </c>
      <c r="C52" s="295" t="s">
        <v>622</v>
      </c>
      <c r="D52" s="293">
        <v>0</v>
      </c>
      <c r="E52" s="295" t="s">
        <v>623</v>
      </c>
      <c r="F52" s="291">
        <v>297</v>
      </c>
      <c r="G52" s="295" t="s">
        <v>622</v>
      </c>
      <c r="H52" s="291">
        <v>10</v>
      </c>
      <c r="I52" s="294">
        <f t="shared" ref="I52:I58" si="2">((F52*20)+H52)-((B52*20)+D52)</f>
        <v>90</v>
      </c>
      <c r="J52" s="294" t="s">
        <v>626</v>
      </c>
      <c r="K52" s="294" t="s">
        <v>628</v>
      </c>
      <c r="L52" s="151"/>
      <c r="M52" s="151"/>
      <c r="N52" s="151"/>
      <c r="O52" s="151"/>
      <c r="P52" s="151"/>
      <c r="Q52" s="151"/>
    </row>
    <row r="53" spans="1:17" hidden="1" x14ac:dyDescent="0.2">
      <c r="A53" s="152" t="s">
        <v>643</v>
      </c>
      <c r="B53" s="293">
        <v>251</v>
      </c>
      <c r="C53" s="295" t="s">
        <v>622</v>
      </c>
      <c r="D53" s="293">
        <v>0</v>
      </c>
      <c r="E53" s="295" t="s">
        <v>623</v>
      </c>
      <c r="F53" s="291">
        <v>260</v>
      </c>
      <c r="G53" s="295" t="s">
        <v>622</v>
      </c>
      <c r="H53" s="291">
        <v>0</v>
      </c>
      <c r="I53" s="294">
        <f t="shared" si="2"/>
        <v>180</v>
      </c>
      <c r="J53" s="294" t="s">
        <v>626</v>
      </c>
      <c r="K53" s="294" t="s">
        <v>625</v>
      </c>
      <c r="L53" s="151"/>
      <c r="M53" s="151"/>
      <c r="N53" s="151"/>
      <c r="O53" s="151"/>
      <c r="P53" s="151"/>
      <c r="Q53" s="151"/>
    </row>
    <row r="54" spans="1:17" hidden="1" x14ac:dyDescent="0.2">
      <c r="A54" s="152" t="s">
        <v>643</v>
      </c>
      <c r="B54" s="293">
        <v>281</v>
      </c>
      <c r="C54" s="295" t="s">
        <v>622</v>
      </c>
      <c r="D54" s="293">
        <v>7</v>
      </c>
      <c r="E54" s="295" t="s">
        <v>623</v>
      </c>
      <c r="F54" s="291">
        <v>285</v>
      </c>
      <c r="G54" s="295" t="s">
        <v>622</v>
      </c>
      <c r="H54" s="291">
        <v>15</v>
      </c>
      <c r="I54" s="294">
        <f t="shared" si="2"/>
        <v>88</v>
      </c>
      <c r="J54" s="294" t="s">
        <v>626</v>
      </c>
      <c r="K54" s="294" t="s">
        <v>625</v>
      </c>
      <c r="L54" s="151"/>
      <c r="M54" s="151"/>
      <c r="N54" s="151"/>
      <c r="O54" s="151"/>
      <c r="P54" s="151"/>
      <c r="Q54" s="151"/>
    </row>
    <row r="55" spans="1:17" hidden="1" x14ac:dyDescent="0.2">
      <c r="A55" s="152" t="s">
        <v>643</v>
      </c>
      <c r="B55" s="293">
        <v>293</v>
      </c>
      <c r="C55" s="295" t="s">
        <v>622</v>
      </c>
      <c r="D55" s="293">
        <v>0</v>
      </c>
      <c r="E55" s="295" t="s">
        <v>623</v>
      </c>
      <c r="F55" s="291">
        <v>297</v>
      </c>
      <c r="G55" s="295" t="s">
        <v>622</v>
      </c>
      <c r="H55" s="291">
        <v>19</v>
      </c>
      <c r="I55" s="294">
        <f t="shared" si="2"/>
        <v>99</v>
      </c>
      <c r="J55" s="294" t="s">
        <v>626</v>
      </c>
      <c r="K55" s="294" t="s">
        <v>625</v>
      </c>
    </row>
    <row r="56" spans="1:17" hidden="1" x14ac:dyDescent="0.2">
      <c r="A56" s="152" t="s">
        <v>643</v>
      </c>
      <c r="B56" s="291">
        <v>315</v>
      </c>
      <c r="C56" s="293" t="s">
        <v>622</v>
      </c>
      <c r="D56" s="291">
        <v>9.5</v>
      </c>
      <c r="E56" s="295" t="s">
        <v>623</v>
      </c>
      <c r="F56" s="291">
        <v>319</v>
      </c>
      <c r="G56" s="295" t="s">
        <v>622</v>
      </c>
      <c r="H56" s="291">
        <v>16.5</v>
      </c>
      <c r="I56" s="294">
        <f t="shared" si="2"/>
        <v>87</v>
      </c>
      <c r="J56" s="294" t="s">
        <v>626</v>
      </c>
      <c r="K56" s="294" t="s">
        <v>625</v>
      </c>
    </row>
    <row r="57" spans="1:17" ht="15" hidden="1" x14ac:dyDescent="0.2">
      <c r="A57" s="152" t="s">
        <v>643</v>
      </c>
      <c r="B57" s="293">
        <v>275</v>
      </c>
      <c r="C57" s="295" t="s">
        <v>622</v>
      </c>
      <c r="D57" s="293">
        <v>17</v>
      </c>
      <c r="E57" s="295" t="s">
        <v>623</v>
      </c>
      <c r="F57" s="291">
        <v>280</v>
      </c>
      <c r="G57" s="295" t="s">
        <v>622</v>
      </c>
      <c r="H57" s="291">
        <v>10</v>
      </c>
      <c r="I57" s="294">
        <f t="shared" si="2"/>
        <v>93</v>
      </c>
      <c r="J57" s="158" t="s">
        <v>630</v>
      </c>
      <c r="K57" s="294" t="s">
        <v>625</v>
      </c>
    </row>
    <row r="58" spans="1:17" ht="15" hidden="1" x14ac:dyDescent="0.2">
      <c r="A58" s="152" t="s">
        <v>643</v>
      </c>
      <c r="B58" s="293">
        <v>274</v>
      </c>
      <c r="C58" s="306" t="s">
        <v>622</v>
      </c>
      <c r="D58" s="293">
        <v>10</v>
      </c>
      <c r="E58" s="296" t="s">
        <v>623</v>
      </c>
      <c r="F58" s="291">
        <v>286</v>
      </c>
      <c r="G58" s="306" t="s">
        <v>622</v>
      </c>
      <c r="H58" s="291">
        <v>0</v>
      </c>
      <c r="I58" s="294">
        <f t="shared" si="2"/>
        <v>230</v>
      </c>
      <c r="J58" s="158" t="s">
        <v>630</v>
      </c>
      <c r="K58" s="294" t="s">
        <v>628</v>
      </c>
    </row>
    <row r="59" spans="1:17" hidden="1" x14ac:dyDescent="0.2">
      <c r="A59" s="152" t="s">
        <v>643</v>
      </c>
      <c r="B59" s="293">
        <v>226</v>
      </c>
      <c r="C59" s="306" t="s">
        <v>622</v>
      </c>
      <c r="D59" s="293">
        <v>3.29</v>
      </c>
      <c r="E59" s="296"/>
      <c r="F59" s="291"/>
      <c r="G59" s="306"/>
      <c r="H59" s="291"/>
      <c r="I59" s="294">
        <v>1</v>
      </c>
      <c r="J59" s="294" t="s">
        <v>632</v>
      </c>
      <c r="K59" s="294" t="s">
        <v>625</v>
      </c>
    </row>
    <row r="60" spans="1:17" hidden="1" x14ac:dyDescent="0.2">
      <c r="A60" s="152" t="s">
        <v>643</v>
      </c>
      <c r="B60" s="293">
        <v>234</v>
      </c>
      <c r="C60" s="306" t="s">
        <v>622</v>
      </c>
      <c r="D60" s="293">
        <v>13</v>
      </c>
      <c r="E60" s="296"/>
      <c r="F60" s="291"/>
      <c r="G60" s="292"/>
      <c r="H60" s="291"/>
      <c r="I60" s="294">
        <v>1</v>
      </c>
      <c r="J60" s="294" t="s">
        <v>632</v>
      </c>
      <c r="K60" s="294" t="s">
        <v>628</v>
      </c>
    </row>
    <row r="61" spans="1:17" hidden="1" x14ac:dyDescent="0.2">
      <c r="A61" s="152" t="s">
        <v>643</v>
      </c>
      <c r="B61" s="293">
        <v>244</v>
      </c>
      <c r="C61" s="306" t="s">
        <v>622</v>
      </c>
      <c r="D61" s="293">
        <v>0</v>
      </c>
      <c r="E61" s="296"/>
      <c r="F61" s="291"/>
      <c r="G61" s="292"/>
      <c r="H61" s="291"/>
      <c r="I61" s="294">
        <v>1</v>
      </c>
      <c r="J61" s="294" t="s">
        <v>632</v>
      </c>
      <c r="K61" s="294" t="s">
        <v>628</v>
      </c>
    </row>
    <row r="62" spans="1:17" hidden="1" x14ac:dyDescent="0.2">
      <c r="A62" s="152" t="s">
        <v>643</v>
      </c>
      <c r="B62" s="293">
        <v>244</v>
      </c>
      <c r="C62" s="306" t="s">
        <v>622</v>
      </c>
      <c r="D62" s="293">
        <v>10</v>
      </c>
      <c r="E62" s="296"/>
      <c r="F62" s="291"/>
      <c r="G62" s="292"/>
      <c r="H62" s="291"/>
      <c r="I62" s="294">
        <v>1</v>
      </c>
      <c r="J62" s="294" t="s">
        <v>632</v>
      </c>
      <c r="K62" s="294" t="s">
        <v>628</v>
      </c>
    </row>
    <row r="63" spans="1:17" hidden="1" x14ac:dyDescent="0.2">
      <c r="A63" s="152" t="s">
        <v>643</v>
      </c>
      <c r="B63" s="293">
        <v>246</v>
      </c>
      <c r="C63" s="306" t="s">
        <v>622</v>
      </c>
      <c r="D63" s="293">
        <v>5</v>
      </c>
      <c r="E63" s="296"/>
      <c r="F63" s="291"/>
      <c r="G63" s="292"/>
      <c r="H63" s="291"/>
      <c r="I63" s="294">
        <v>1</v>
      </c>
      <c r="J63" s="294" t="s">
        <v>632</v>
      </c>
      <c r="K63" s="294" t="s">
        <v>628</v>
      </c>
    </row>
    <row r="64" spans="1:17" hidden="1" x14ac:dyDescent="0.2">
      <c r="A64" s="152" t="s">
        <v>643</v>
      </c>
      <c r="B64" s="293">
        <v>248</v>
      </c>
      <c r="C64" s="306" t="s">
        <v>622</v>
      </c>
      <c r="D64" s="293">
        <v>3</v>
      </c>
      <c r="E64" s="296"/>
      <c r="F64" s="291"/>
      <c r="G64" s="292"/>
      <c r="H64" s="291"/>
      <c r="I64" s="294">
        <v>1</v>
      </c>
      <c r="J64" s="294" t="s">
        <v>632</v>
      </c>
      <c r="K64" s="294" t="s">
        <v>628</v>
      </c>
    </row>
    <row r="65" spans="1:11" hidden="1" x14ac:dyDescent="0.2">
      <c r="A65" s="152" t="s">
        <v>643</v>
      </c>
      <c r="B65" s="293">
        <v>234</v>
      </c>
      <c r="C65" s="306" t="s">
        <v>622</v>
      </c>
      <c r="D65" s="293">
        <v>13</v>
      </c>
      <c r="E65" s="296"/>
      <c r="F65" s="291"/>
      <c r="G65" s="292"/>
      <c r="H65" s="291"/>
      <c r="I65" s="294">
        <v>1</v>
      </c>
      <c r="J65" s="297" t="s">
        <v>650</v>
      </c>
      <c r="K65" s="294" t="s">
        <v>628</v>
      </c>
    </row>
    <row r="66" spans="1:11" hidden="1" x14ac:dyDescent="0.2">
      <c r="A66" s="152" t="s">
        <v>643</v>
      </c>
      <c r="B66" s="293">
        <v>244</v>
      </c>
      <c r="C66" s="306" t="s">
        <v>622</v>
      </c>
      <c r="D66" s="293">
        <v>0</v>
      </c>
      <c r="E66" s="298"/>
      <c r="F66" s="291"/>
      <c r="G66" s="293"/>
      <c r="H66" s="291"/>
      <c r="I66" s="294">
        <v>1</v>
      </c>
      <c r="J66" s="294" t="s">
        <v>651</v>
      </c>
      <c r="K66" s="294" t="s">
        <v>628</v>
      </c>
    </row>
    <row r="67" spans="1:11" hidden="1" x14ac:dyDescent="0.2">
      <c r="A67" s="152" t="s">
        <v>643</v>
      </c>
      <c r="B67" s="293">
        <v>246</v>
      </c>
      <c r="C67" s="306" t="s">
        <v>622</v>
      </c>
      <c r="D67" s="293">
        <v>5</v>
      </c>
      <c r="E67" s="298"/>
      <c r="F67" s="291"/>
      <c r="G67" s="292"/>
      <c r="H67" s="291"/>
      <c r="I67" s="294">
        <v>1</v>
      </c>
      <c r="J67" s="297" t="s">
        <v>650</v>
      </c>
      <c r="K67" s="294" t="s">
        <v>628</v>
      </c>
    </row>
    <row r="68" spans="1:11" hidden="1" x14ac:dyDescent="0.2">
      <c r="A68" s="152" t="s">
        <v>643</v>
      </c>
      <c r="B68" s="293">
        <v>248</v>
      </c>
      <c r="C68" s="306" t="s">
        <v>622</v>
      </c>
      <c r="D68" s="293">
        <v>3</v>
      </c>
      <c r="E68" s="298"/>
      <c r="F68" s="291"/>
      <c r="G68" s="292"/>
      <c r="H68" s="291"/>
      <c r="I68" s="294">
        <v>1</v>
      </c>
      <c r="J68" s="297" t="s">
        <v>650</v>
      </c>
      <c r="K68" s="294" t="s">
        <v>628</v>
      </c>
    </row>
    <row r="69" spans="1:11" hidden="1" x14ac:dyDescent="0.2">
      <c r="A69" s="152" t="s">
        <v>643</v>
      </c>
      <c r="B69" s="293">
        <v>234</v>
      </c>
      <c r="C69" s="306" t="s">
        <v>622</v>
      </c>
      <c r="D69" s="293">
        <v>13</v>
      </c>
      <c r="E69" s="298"/>
      <c r="F69" s="291"/>
      <c r="G69" s="292"/>
      <c r="H69" s="291"/>
      <c r="I69" s="294">
        <v>5</v>
      </c>
      <c r="J69" s="297" t="s">
        <v>641</v>
      </c>
      <c r="K69" s="294" t="s">
        <v>628</v>
      </c>
    </row>
    <row r="70" spans="1:11" hidden="1" x14ac:dyDescent="0.2">
      <c r="A70" s="152" t="s">
        <v>643</v>
      </c>
      <c r="B70" s="293">
        <v>244</v>
      </c>
      <c r="C70" s="306" t="s">
        <v>622</v>
      </c>
      <c r="D70" s="293">
        <v>10</v>
      </c>
      <c r="E70" s="298"/>
      <c r="F70" s="291"/>
      <c r="G70" s="292"/>
      <c r="H70" s="291"/>
      <c r="I70" s="294">
        <v>1</v>
      </c>
      <c r="J70" s="297" t="s">
        <v>637</v>
      </c>
      <c r="K70" s="294" t="s">
        <v>628</v>
      </c>
    </row>
    <row r="71" spans="1:11" hidden="1" x14ac:dyDescent="0.2">
      <c r="A71" s="152" t="s">
        <v>643</v>
      </c>
      <c r="B71" s="293">
        <v>244</v>
      </c>
      <c r="C71" s="306" t="s">
        <v>622</v>
      </c>
      <c r="D71" s="293">
        <v>0</v>
      </c>
      <c r="E71" s="298"/>
      <c r="F71" s="291"/>
      <c r="G71" s="292"/>
      <c r="H71" s="291"/>
      <c r="I71" s="294">
        <v>5</v>
      </c>
      <c r="J71" s="297" t="s">
        <v>641</v>
      </c>
      <c r="K71" s="294" t="s">
        <v>628</v>
      </c>
    </row>
    <row r="72" spans="1:11" hidden="1" x14ac:dyDescent="0.2">
      <c r="A72" s="152" t="s">
        <v>643</v>
      </c>
      <c r="B72" s="293">
        <v>246</v>
      </c>
      <c r="C72" s="306" t="s">
        <v>622</v>
      </c>
      <c r="D72" s="293">
        <v>5</v>
      </c>
      <c r="E72" s="298"/>
      <c r="F72" s="291"/>
      <c r="G72" s="292"/>
      <c r="H72" s="291"/>
      <c r="I72" s="294">
        <v>3</v>
      </c>
      <c r="J72" s="297" t="s">
        <v>641</v>
      </c>
      <c r="K72" s="294" t="s">
        <v>628</v>
      </c>
    </row>
    <row r="73" spans="1:11" hidden="1" x14ac:dyDescent="0.2">
      <c r="A73" s="152" t="s">
        <v>643</v>
      </c>
      <c r="B73" s="293">
        <v>248</v>
      </c>
      <c r="C73" s="306" t="s">
        <v>622</v>
      </c>
      <c r="D73" s="293">
        <v>3</v>
      </c>
      <c r="E73" s="298"/>
      <c r="F73" s="291"/>
      <c r="G73" s="292"/>
      <c r="H73" s="291"/>
      <c r="I73" s="294">
        <v>3</v>
      </c>
      <c r="J73" s="297" t="s">
        <v>641</v>
      </c>
      <c r="K73" s="294" t="s">
        <v>628</v>
      </c>
    </row>
    <row r="74" spans="1:11" hidden="1" x14ac:dyDescent="0.2">
      <c r="A74" s="152" t="s">
        <v>643</v>
      </c>
      <c r="B74" s="293">
        <v>316</v>
      </c>
      <c r="C74" s="306" t="s">
        <v>622</v>
      </c>
      <c r="D74" s="293">
        <v>11.7</v>
      </c>
      <c r="E74" s="298"/>
      <c r="F74" s="291"/>
      <c r="G74" s="292"/>
      <c r="H74" s="291"/>
      <c r="I74" s="294">
        <v>1</v>
      </c>
      <c r="J74" s="297" t="s">
        <v>637</v>
      </c>
      <c r="K74" s="294" t="s">
        <v>628</v>
      </c>
    </row>
    <row r="75" spans="1:11" x14ac:dyDescent="0.2">
      <c r="A75" s="152" t="s">
        <v>1050</v>
      </c>
      <c r="B75" s="293">
        <v>292</v>
      </c>
      <c r="C75" s="306" t="s">
        <v>622</v>
      </c>
      <c r="D75" s="293">
        <v>10</v>
      </c>
      <c r="E75" s="298"/>
      <c r="F75" s="291"/>
      <c r="G75" s="292"/>
      <c r="H75" s="291"/>
      <c r="I75" s="294">
        <v>1</v>
      </c>
      <c r="J75" s="297" t="s">
        <v>1049</v>
      </c>
      <c r="K75" s="294" t="s">
        <v>628</v>
      </c>
    </row>
    <row r="76" spans="1:11" x14ac:dyDescent="0.2">
      <c r="A76" s="152" t="s">
        <v>1050</v>
      </c>
      <c r="B76" s="293">
        <v>292</v>
      </c>
      <c r="C76" s="306" t="s">
        <v>622</v>
      </c>
      <c r="D76" s="293">
        <v>10</v>
      </c>
      <c r="E76" s="298"/>
      <c r="F76" s="291"/>
      <c r="G76" s="292"/>
      <c r="H76" s="291"/>
      <c r="I76" s="294">
        <v>1</v>
      </c>
      <c r="J76" s="297" t="s">
        <v>1049</v>
      </c>
      <c r="K76" s="294" t="s">
        <v>625</v>
      </c>
    </row>
    <row r="77" spans="1:11" x14ac:dyDescent="0.2">
      <c r="A77" s="152" t="s">
        <v>1050</v>
      </c>
      <c r="B77" s="293">
        <v>299</v>
      </c>
      <c r="C77" s="306" t="s">
        <v>622</v>
      </c>
      <c r="D77" s="293">
        <v>6</v>
      </c>
      <c r="E77" s="298"/>
      <c r="F77" s="291"/>
      <c r="G77" s="292"/>
      <c r="H77" s="291"/>
      <c r="I77" s="294">
        <v>1</v>
      </c>
      <c r="J77" s="297" t="s">
        <v>1049</v>
      </c>
      <c r="K77" s="294" t="s">
        <v>628</v>
      </c>
    </row>
    <row r="78" spans="1:11" x14ac:dyDescent="0.2">
      <c r="A78" s="152" t="s">
        <v>1050</v>
      </c>
      <c r="B78" s="293">
        <v>312</v>
      </c>
      <c r="C78" s="306" t="s">
        <v>622</v>
      </c>
      <c r="D78" s="293">
        <v>11</v>
      </c>
      <c r="E78" s="298"/>
      <c r="F78" s="291"/>
      <c r="G78" s="292"/>
      <c r="H78" s="291"/>
      <c r="I78" s="294">
        <v>1</v>
      </c>
      <c r="J78" s="297" t="s">
        <v>1049</v>
      </c>
      <c r="K78" s="294" t="s">
        <v>628</v>
      </c>
    </row>
    <row r="79" spans="1:11" x14ac:dyDescent="0.2">
      <c r="A79" s="152" t="s">
        <v>1050</v>
      </c>
      <c r="B79" s="293">
        <v>314</v>
      </c>
      <c r="C79" s="306" t="s">
        <v>622</v>
      </c>
      <c r="D79" s="293">
        <v>11</v>
      </c>
      <c r="E79" s="298"/>
      <c r="F79" s="291"/>
      <c r="G79" s="292"/>
      <c r="H79" s="291"/>
      <c r="I79" s="294">
        <v>1</v>
      </c>
      <c r="J79" s="297" t="s">
        <v>1049</v>
      </c>
      <c r="K79" s="294" t="s">
        <v>628</v>
      </c>
    </row>
    <row r="80" spans="1:11" x14ac:dyDescent="0.2">
      <c r="A80" s="152" t="s">
        <v>1050</v>
      </c>
      <c r="B80" s="293">
        <v>316</v>
      </c>
      <c r="C80" s="306" t="s">
        <v>622</v>
      </c>
      <c r="D80" s="293">
        <v>11.69</v>
      </c>
      <c r="E80" s="298"/>
      <c r="F80" s="291"/>
      <c r="G80" s="292"/>
      <c r="H80" s="291"/>
      <c r="I80" s="294">
        <v>1</v>
      </c>
      <c r="J80" s="297" t="s">
        <v>1049</v>
      </c>
      <c r="K80" s="294" t="s">
        <v>628</v>
      </c>
    </row>
    <row r="81" spans="1:11" x14ac:dyDescent="0.2">
      <c r="A81" s="152" t="s">
        <v>1050</v>
      </c>
      <c r="B81" s="293">
        <v>318</v>
      </c>
      <c r="C81" s="306" t="s">
        <v>622</v>
      </c>
      <c r="D81" s="293">
        <v>0</v>
      </c>
      <c r="E81" s="298"/>
      <c r="F81" s="291"/>
      <c r="G81" s="292"/>
      <c r="H81" s="291"/>
      <c r="I81" s="294">
        <v>1</v>
      </c>
      <c r="J81" s="297" t="s">
        <v>1049</v>
      </c>
      <c r="K81" s="294" t="s">
        <v>628</v>
      </c>
    </row>
    <row r="82" spans="1:11" x14ac:dyDescent="0.2">
      <c r="A82" s="152" t="s">
        <v>1050</v>
      </c>
      <c r="B82" s="293">
        <v>5</v>
      </c>
      <c r="C82" s="306" t="s">
        <v>622</v>
      </c>
      <c r="D82" s="293">
        <v>11</v>
      </c>
      <c r="E82" s="298"/>
      <c r="F82" s="291"/>
      <c r="G82" s="292"/>
      <c r="H82" s="291"/>
      <c r="I82" s="294">
        <v>1</v>
      </c>
      <c r="J82" s="297" t="s">
        <v>1049</v>
      </c>
      <c r="K82" s="294" t="s">
        <v>846</v>
      </c>
    </row>
    <row r="83" spans="1:11" x14ac:dyDescent="0.2">
      <c r="A83" s="152" t="s">
        <v>1050</v>
      </c>
      <c r="B83" s="293">
        <v>6</v>
      </c>
      <c r="C83" s="306" t="s">
        <v>622</v>
      </c>
      <c r="D83" s="293">
        <v>10</v>
      </c>
      <c r="E83" s="298"/>
      <c r="F83" s="291"/>
      <c r="G83" s="292"/>
      <c r="H83" s="291"/>
      <c r="I83" s="294">
        <v>1</v>
      </c>
      <c r="J83" s="297" t="s">
        <v>1049</v>
      </c>
      <c r="K83" s="294" t="s">
        <v>846</v>
      </c>
    </row>
    <row r="84" spans="1:11" x14ac:dyDescent="0.2">
      <c r="A84" s="152" t="s">
        <v>1050</v>
      </c>
      <c r="B84" s="293">
        <v>7</v>
      </c>
      <c r="C84" s="306" t="s">
        <v>622</v>
      </c>
      <c r="D84" s="293">
        <v>10</v>
      </c>
      <c r="E84" s="298"/>
      <c r="F84" s="291"/>
      <c r="G84" s="292"/>
      <c r="H84" s="291"/>
      <c r="I84" s="294">
        <v>1</v>
      </c>
      <c r="J84" s="297" t="s">
        <v>1049</v>
      </c>
      <c r="K84" s="294" t="s">
        <v>846</v>
      </c>
    </row>
    <row r="85" spans="1:11" x14ac:dyDescent="0.2">
      <c r="A85" s="152" t="s">
        <v>1050</v>
      </c>
      <c r="B85" s="293">
        <v>1</v>
      </c>
      <c r="C85" s="306" t="s">
        <v>622</v>
      </c>
      <c r="D85" s="293">
        <v>0</v>
      </c>
      <c r="E85" s="298"/>
      <c r="F85" s="291"/>
      <c r="G85" s="292"/>
      <c r="H85" s="291"/>
      <c r="I85" s="294">
        <v>1</v>
      </c>
      <c r="J85" s="297" t="s">
        <v>1049</v>
      </c>
      <c r="K85" s="294" t="s">
        <v>846</v>
      </c>
    </row>
    <row r="86" spans="1:11" x14ac:dyDescent="0.2">
      <c r="A86" s="152" t="s">
        <v>1050</v>
      </c>
      <c r="B86" s="293">
        <v>1</v>
      </c>
      <c r="C86" s="306" t="s">
        <v>622</v>
      </c>
      <c r="D86" s="293">
        <v>12</v>
      </c>
      <c r="E86" s="298"/>
      <c r="F86" s="291"/>
      <c r="G86" s="292"/>
      <c r="H86" s="291"/>
      <c r="I86" s="294">
        <v>1</v>
      </c>
      <c r="J86" s="297" t="s">
        <v>1049</v>
      </c>
      <c r="K86" s="294" t="s">
        <v>846</v>
      </c>
    </row>
    <row r="87" spans="1:11" x14ac:dyDescent="0.2">
      <c r="B87" s="293"/>
      <c r="C87" s="306"/>
      <c r="D87" s="293"/>
      <c r="E87" s="298"/>
      <c r="F87" s="291"/>
      <c r="G87" s="292"/>
      <c r="H87" s="291"/>
      <c r="I87" s="294"/>
      <c r="J87" s="297"/>
      <c r="K87" s="294"/>
    </row>
    <row r="88" spans="1:11" x14ac:dyDescent="0.2">
      <c r="B88" s="293"/>
      <c r="C88" s="306"/>
      <c r="D88" s="293"/>
      <c r="E88" s="298"/>
      <c r="F88" s="291"/>
      <c r="G88" s="292"/>
      <c r="H88" s="291"/>
      <c r="I88" s="294"/>
      <c r="J88" s="297"/>
      <c r="K88" s="294"/>
    </row>
    <row r="89" spans="1:11" x14ac:dyDescent="0.2">
      <c r="B89" s="293"/>
      <c r="C89" s="306"/>
      <c r="D89" s="293"/>
      <c r="E89" s="298"/>
      <c r="F89" s="291"/>
      <c r="G89" s="292"/>
      <c r="H89" s="291"/>
      <c r="I89" s="294"/>
      <c r="J89" s="297"/>
      <c r="K89" s="294"/>
    </row>
    <row r="90" spans="1:11" x14ac:dyDescent="0.2">
      <c r="B90" s="293"/>
      <c r="C90" s="306"/>
      <c r="D90" s="293"/>
      <c r="E90" s="298"/>
      <c r="F90" s="291"/>
      <c r="G90" s="292"/>
      <c r="H90" s="291"/>
      <c r="I90" s="294"/>
      <c r="J90" s="297"/>
      <c r="K90" s="294"/>
    </row>
    <row r="91" spans="1:11" x14ac:dyDescent="0.2">
      <c r="B91" s="293"/>
      <c r="C91" s="306"/>
      <c r="D91" s="293"/>
      <c r="E91" s="298"/>
      <c r="F91" s="291"/>
      <c r="G91" s="292"/>
      <c r="H91" s="291"/>
      <c r="I91" s="294"/>
      <c r="J91" s="297"/>
      <c r="K91" s="294"/>
    </row>
    <row r="92" spans="1:11" x14ac:dyDescent="0.2">
      <c r="B92" s="293"/>
      <c r="C92" s="306"/>
      <c r="D92" s="293"/>
      <c r="E92" s="298"/>
      <c r="F92" s="291"/>
      <c r="G92" s="292"/>
      <c r="H92" s="291"/>
      <c r="I92" s="294"/>
      <c r="J92" s="297"/>
      <c r="K92" s="294"/>
    </row>
    <row r="93" spans="1:11" x14ac:dyDescent="0.2">
      <c r="B93" s="293"/>
      <c r="C93" s="306"/>
      <c r="D93" s="293"/>
      <c r="E93" s="298"/>
      <c r="F93" s="291"/>
      <c r="G93" s="292"/>
      <c r="H93" s="291"/>
      <c r="I93" s="294"/>
      <c r="J93" s="297"/>
      <c r="K93" s="294"/>
    </row>
    <row r="94" spans="1:11" x14ac:dyDescent="0.2">
      <c r="B94" s="293"/>
      <c r="C94" s="306"/>
      <c r="D94" s="293"/>
      <c r="E94" s="298"/>
      <c r="F94" s="291"/>
      <c r="G94" s="292"/>
      <c r="H94" s="291"/>
      <c r="I94" s="294"/>
      <c r="J94" s="297"/>
      <c r="K94" s="294"/>
    </row>
    <row r="95" spans="1:11" x14ac:dyDescent="0.2">
      <c r="B95" s="293"/>
      <c r="C95" s="306"/>
      <c r="D95" s="293"/>
      <c r="E95" s="298"/>
      <c r="F95" s="291"/>
      <c r="G95" s="292"/>
      <c r="H95" s="291"/>
      <c r="I95" s="294"/>
      <c r="J95" s="297"/>
      <c r="K95" s="294"/>
    </row>
    <row r="96" spans="1:11" x14ac:dyDescent="0.2">
      <c r="B96" s="293"/>
      <c r="C96" s="306"/>
      <c r="D96" s="293"/>
      <c r="E96" s="298"/>
      <c r="F96" s="291"/>
      <c r="G96" s="292"/>
      <c r="H96" s="291"/>
      <c r="I96" s="294"/>
      <c r="J96" s="297"/>
      <c r="K96" s="294"/>
    </row>
    <row r="97" spans="2:11" x14ac:dyDescent="0.2">
      <c r="B97" s="293"/>
      <c r="C97" s="306"/>
      <c r="D97" s="293"/>
      <c r="E97" s="298"/>
      <c r="F97" s="291"/>
      <c r="G97" s="292"/>
      <c r="H97" s="291"/>
      <c r="I97" s="294"/>
      <c r="J97" s="297"/>
      <c r="K97" s="294"/>
    </row>
    <row r="98" spans="2:11" x14ac:dyDescent="0.2">
      <c r="B98" s="293"/>
      <c r="C98" s="306"/>
      <c r="D98" s="293"/>
      <c r="E98" s="298"/>
      <c r="F98" s="291"/>
      <c r="G98" s="292"/>
      <c r="H98" s="291"/>
      <c r="I98" s="294"/>
      <c r="J98" s="297"/>
      <c r="K98" s="294"/>
    </row>
    <row r="99" spans="2:11" x14ac:dyDescent="0.2">
      <c r="B99" s="293"/>
      <c r="C99" s="306"/>
      <c r="D99" s="293"/>
      <c r="E99" s="298"/>
      <c r="F99" s="291"/>
      <c r="G99" s="292"/>
      <c r="H99" s="291"/>
      <c r="I99" s="294"/>
      <c r="J99" s="297"/>
      <c r="K99" s="294"/>
    </row>
    <row r="100" spans="2:11" x14ac:dyDescent="0.2">
      <c r="B100" s="293"/>
      <c r="C100" s="292"/>
      <c r="D100" s="293"/>
      <c r="E100" s="298"/>
      <c r="F100" s="291"/>
      <c r="G100" s="292"/>
      <c r="H100" s="291"/>
      <c r="I100" s="294"/>
      <c r="J100" s="297"/>
      <c r="K100" s="297"/>
    </row>
    <row r="101" spans="2:11" x14ac:dyDescent="0.2">
      <c r="B101" s="293"/>
      <c r="C101" s="292"/>
      <c r="D101" s="293"/>
      <c r="E101" s="298"/>
      <c r="F101" s="291"/>
      <c r="G101" s="292"/>
      <c r="H101" s="291"/>
      <c r="I101" s="294"/>
      <c r="J101" s="297"/>
      <c r="K101" s="297"/>
    </row>
  </sheetData>
  <autoFilter ref="A4:K86" xr:uid="{A442B441-4BF0-479E-A60A-A3F16675E15B}">
    <filterColumn colId="0">
      <filters>
        <filter val="BM 15"/>
      </filters>
    </filterColumn>
  </autoFilter>
  <mergeCells count="4">
    <mergeCell ref="B1:K1"/>
    <mergeCell ref="B2:K2"/>
    <mergeCell ref="B3:H3"/>
    <mergeCell ref="L2:R2"/>
  </mergeCells>
  <phoneticPr fontId="12" type="noConversion"/>
  <pageMargins left="0.511811024" right="0.511811024" top="0.78740157499999996" bottom="0.78740157499999996" header="0.31496062000000002" footer="0.31496062000000002"/>
  <pageSetup paperSize="9" scale="7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E277-9628-4B24-9364-DE592DD04844}">
  <dimension ref="A1:Q104"/>
  <sheetViews>
    <sheetView view="pageBreakPreview" topLeftCell="A88" zoomScale="90" zoomScaleNormal="90" zoomScaleSheetLayoutView="90" workbookViewId="0">
      <selection activeCell="C2" sqref="C2:F2"/>
    </sheetView>
  </sheetViews>
  <sheetFormatPr defaultRowHeight="12.75" x14ac:dyDescent="0.2"/>
  <cols>
    <col min="1" max="1" width="9.5" customWidth="1"/>
    <col min="2" max="2" width="6.6640625" customWidth="1"/>
    <col min="3" max="4" width="12.5" customWidth="1"/>
    <col min="5" max="5" width="17.5" customWidth="1"/>
    <col min="6" max="6" width="14.5" customWidth="1"/>
    <col min="7" max="7" width="15.1640625" customWidth="1"/>
    <col min="8" max="8" width="14.5" customWidth="1"/>
    <col min="9" max="9" width="19.1640625" style="34" customWidth="1"/>
    <col min="10" max="10" width="15.1640625" customWidth="1"/>
  </cols>
  <sheetData>
    <row r="1" spans="1:10" ht="58.9" customHeight="1" x14ac:dyDescent="0.2">
      <c r="A1" s="459"/>
      <c r="B1" s="459"/>
      <c r="C1" s="459"/>
      <c r="D1" s="460" t="s">
        <v>652</v>
      </c>
      <c r="E1" s="460"/>
      <c r="F1" s="461"/>
      <c r="G1" s="461"/>
      <c r="H1" s="461"/>
      <c r="I1" s="459"/>
      <c r="J1" s="459"/>
    </row>
    <row r="2" spans="1:10" ht="19.149999999999999" customHeight="1" x14ac:dyDescent="0.2">
      <c r="A2" s="462" t="s">
        <v>653</v>
      </c>
      <c r="B2" s="462"/>
      <c r="C2" s="463" t="s">
        <v>654</v>
      </c>
      <c r="D2" s="463"/>
      <c r="E2" s="463"/>
      <c r="F2" s="463"/>
      <c r="G2" s="464"/>
      <c r="H2" s="464"/>
      <c r="I2" s="464"/>
      <c r="J2" s="358"/>
    </row>
    <row r="3" spans="1:10" ht="18" customHeight="1" x14ac:dyDescent="0.2">
      <c r="A3" s="462" t="s">
        <v>655</v>
      </c>
      <c r="B3" s="462"/>
      <c r="C3" s="463" t="s">
        <v>656</v>
      </c>
      <c r="D3" s="463"/>
      <c r="E3" s="463"/>
      <c r="F3" s="463"/>
      <c r="G3" s="468" t="s">
        <v>657</v>
      </c>
      <c r="H3" s="464"/>
      <c r="I3" s="464"/>
      <c r="J3" s="358"/>
    </row>
    <row r="4" spans="1:10" ht="19.149999999999999" customHeight="1" x14ac:dyDescent="0.2">
      <c r="A4" s="462" t="s">
        <v>658</v>
      </c>
      <c r="B4" s="462"/>
      <c r="C4" s="463" t="s">
        <v>659</v>
      </c>
      <c r="D4" s="463"/>
      <c r="E4" s="463"/>
      <c r="F4" s="463"/>
      <c r="G4" s="464" t="s">
        <v>660</v>
      </c>
      <c r="H4" s="464"/>
      <c r="I4" s="464"/>
      <c r="J4" s="358"/>
    </row>
    <row r="5" spans="1:10" ht="16.5" customHeight="1" x14ac:dyDescent="0.2">
      <c r="A5" s="465" t="s">
        <v>661</v>
      </c>
      <c r="B5" s="465"/>
      <c r="C5" s="466" t="s">
        <v>662</v>
      </c>
      <c r="D5" s="466"/>
      <c r="E5" s="465" t="s">
        <v>663</v>
      </c>
      <c r="F5" s="465" t="s">
        <v>664</v>
      </c>
      <c r="G5" s="465" t="s">
        <v>665</v>
      </c>
      <c r="H5" s="465"/>
      <c r="I5" s="466" t="s">
        <v>666</v>
      </c>
      <c r="J5" s="466"/>
    </row>
    <row r="6" spans="1:10" ht="14.25" customHeight="1" x14ac:dyDescent="0.2">
      <c r="A6" s="465"/>
      <c r="B6" s="465"/>
      <c r="C6" s="354" t="s">
        <v>667</v>
      </c>
      <c r="D6" s="354" t="s">
        <v>668</v>
      </c>
      <c r="E6" s="465"/>
      <c r="F6" s="465"/>
      <c r="G6" s="354" t="s">
        <v>667</v>
      </c>
      <c r="H6" s="354" t="s">
        <v>668</v>
      </c>
      <c r="I6" s="162" t="s">
        <v>667</v>
      </c>
      <c r="J6" s="354" t="s">
        <v>668</v>
      </c>
    </row>
    <row r="7" spans="1:10" ht="14.25" customHeight="1" x14ac:dyDescent="0.2">
      <c r="A7" s="467" t="s">
        <v>669</v>
      </c>
      <c r="B7" s="467"/>
      <c r="C7" s="357">
        <v>20.32</v>
      </c>
      <c r="D7" s="357">
        <v>0</v>
      </c>
      <c r="E7" s="357">
        <v>10</v>
      </c>
      <c r="F7" s="163">
        <v>2500</v>
      </c>
      <c r="G7" s="357">
        <v>203.2</v>
      </c>
      <c r="H7" s="357">
        <v>0</v>
      </c>
      <c r="I7" s="220">
        <v>203.2</v>
      </c>
      <c r="J7" s="357">
        <v>0</v>
      </c>
    </row>
    <row r="8" spans="1:10" ht="14.25" customHeight="1" x14ac:dyDescent="0.2">
      <c r="A8" s="467" t="s">
        <v>670</v>
      </c>
      <c r="B8" s="467"/>
      <c r="C8" s="357">
        <v>29.33</v>
      </c>
      <c r="D8" s="357">
        <v>0</v>
      </c>
      <c r="E8" s="357">
        <v>10</v>
      </c>
      <c r="F8" s="163">
        <v>1200</v>
      </c>
      <c r="G8" s="357">
        <v>293.29999999999995</v>
      </c>
      <c r="H8" s="357">
        <v>0</v>
      </c>
      <c r="I8" s="220">
        <v>496.49999999999994</v>
      </c>
      <c r="J8" s="357">
        <v>0</v>
      </c>
    </row>
    <row r="9" spans="1:10" ht="14.25" customHeight="1" x14ac:dyDescent="0.2">
      <c r="A9" s="467" t="s">
        <v>671</v>
      </c>
      <c r="B9" s="467"/>
      <c r="C9" s="357">
        <v>42.08</v>
      </c>
      <c r="D9" s="357">
        <v>0</v>
      </c>
      <c r="E9" s="357">
        <v>10</v>
      </c>
      <c r="F9" s="221">
        <v>400</v>
      </c>
      <c r="G9" s="357">
        <v>420.79999999999995</v>
      </c>
      <c r="H9" s="357">
        <v>0</v>
      </c>
      <c r="I9" s="220">
        <v>917.3</v>
      </c>
      <c r="J9" s="357">
        <v>0</v>
      </c>
    </row>
    <row r="10" spans="1:10" ht="14.25" customHeight="1" x14ac:dyDescent="0.2">
      <c r="A10" s="467" t="s">
        <v>672</v>
      </c>
      <c r="B10" s="467"/>
      <c r="C10" s="357">
        <v>63.67</v>
      </c>
      <c r="D10" s="357">
        <v>0</v>
      </c>
      <c r="E10" s="357">
        <v>10</v>
      </c>
      <c r="F10" s="163">
        <v>50</v>
      </c>
      <c r="G10" s="357">
        <v>636.70000000000005</v>
      </c>
      <c r="H10" s="357">
        <v>0</v>
      </c>
      <c r="I10" s="220">
        <v>1554</v>
      </c>
      <c r="J10" s="357">
        <v>0</v>
      </c>
    </row>
    <row r="11" spans="1:10" ht="14.25" customHeight="1" x14ac:dyDescent="0.2">
      <c r="A11" s="467" t="s">
        <v>673</v>
      </c>
      <c r="B11" s="467"/>
      <c r="C11" s="357">
        <v>92.06</v>
      </c>
      <c r="D11" s="357">
        <v>0</v>
      </c>
      <c r="E11" s="357">
        <v>10</v>
      </c>
      <c r="F11" s="163">
        <v>50</v>
      </c>
      <c r="G11" s="357">
        <v>920.6</v>
      </c>
      <c r="H11" s="357">
        <v>0</v>
      </c>
      <c r="I11" s="220">
        <v>2474.6</v>
      </c>
      <c r="J11" s="357">
        <v>0</v>
      </c>
    </row>
    <row r="12" spans="1:10" ht="14.25" customHeight="1" x14ac:dyDescent="0.2">
      <c r="A12" s="467" t="s">
        <v>674</v>
      </c>
      <c r="B12" s="467"/>
      <c r="C12" s="357">
        <v>127.39</v>
      </c>
      <c r="D12" s="357">
        <v>0</v>
      </c>
      <c r="E12" s="357">
        <v>10</v>
      </c>
      <c r="F12" s="163">
        <v>50</v>
      </c>
      <c r="G12" s="357">
        <v>1273.9000000000001</v>
      </c>
      <c r="H12" s="357">
        <v>0</v>
      </c>
      <c r="I12" s="220">
        <v>3748.5</v>
      </c>
      <c r="J12" s="357">
        <v>0</v>
      </c>
    </row>
    <row r="13" spans="1:10" ht="14.25" customHeight="1" x14ac:dyDescent="0.2">
      <c r="A13" s="467" t="s">
        <v>675</v>
      </c>
      <c r="B13" s="467"/>
      <c r="C13" s="357">
        <v>164.87</v>
      </c>
      <c r="D13" s="357">
        <v>0</v>
      </c>
      <c r="E13" s="357">
        <v>10</v>
      </c>
      <c r="F13" s="163">
        <v>50</v>
      </c>
      <c r="G13" s="357">
        <v>1648.7</v>
      </c>
      <c r="H13" s="357">
        <v>0</v>
      </c>
      <c r="I13" s="220">
        <v>5397.2</v>
      </c>
      <c r="J13" s="357">
        <v>0</v>
      </c>
    </row>
    <row r="14" spans="1:10" ht="14.25" customHeight="1" x14ac:dyDescent="0.2">
      <c r="A14" s="467" t="s">
        <v>676</v>
      </c>
      <c r="B14" s="467"/>
      <c r="C14" s="357">
        <v>159.15</v>
      </c>
      <c r="D14" s="357">
        <v>0</v>
      </c>
      <c r="E14" s="357">
        <v>10</v>
      </c>
      <c r="F14" s="163">
        <v>50</v>
      </c>
      <c r="G14" s="357">
        <v>1591.5</v>
      </c>
      <c r="H14" s="357">
        <v>0</v>
      </c>
      <c r="I14" s="220">
        <v>6988.7</v>
      </c>
      <c r="J14" s="357">
        <v>0</v>
      </c>
    </row>
    <row r="15" spans="1:10" ht="14.25" customHeight="1" x14ac:dyDescent="0.2">
      <c r="A15" s="467" t="s">
        <v>677</v>
      </c>
      <c r="B15" s="467"/>
      <c r="C15" s="357">
        <v>152.51</v>
      </c>
      <c r="D15" s="357">
        <v>0</v>
      </c>
      <c r="E15" s="357">
        <v>10</v>
      </c>
      <c r="F15" s="163">
        <v>50</v>
      </c>
      <c r="G15" s="357">
        <v>1525.1</v>
      </c>
      <c r="H15" s="357">
        <v>0</v>
      </c>
      <c r="I15" s="220">
        <v>8513.7999999999993</v>
      </c>
      <c r="J15" s="357">
        <v>0</v>
      </c>
    </row>
    <row r="16" spans="1:10" ht="14.25" customHeight="1" x14ac:dyDescent="0.2">
      <c r="A16" s="467" t="s">
        <v>678</v>
      </c>
      <c r="B16" s="467"/>
      <c r="C16" s="357">
        <v>94.44</v>
      </c>
      <c r="D16" s="357">
        <v>0</v>
      </c>
      <c r="E16" s="357">
        <v>10</v>
      </c>
      <c r="F16" s="163">
        <v>2500</v>
      </c>
      <c r="G16" s="357">
        <v>944.4</v>
      </c>
      <c r="H16" s="357">
        <v>0</v>
      </c>
      <c r="I16" s="220">
        <v>9458.1999999999989</v>
      </c>
      <c r="J16" s="357">
        <v>0</v>
      </c>
    </row>
    <row r="17" spans="1:17" ht="14.25" customHeight="1" x14ac:dyDescent="0.2">
      <c r="A17" s="467" t="s">
        <v>679</v>
      </c>
      <c r="B17" s="467"/>
      <c r="C17" s="357">
        <v>56.84</v>
      </c>
      <c r="D17" s="357">
        <v>0</v>
      </c>
      <c r="E17" s="357">
        <v>10</v>
      </c>
      <c r="F17" s="163">
        <v>2500</v>
      </c>
      <c r="G17" s="357">
        <v>568.40000000000009</v>
      </c>
      <c r="H17" s="357">
        <v>0</v>
      </c>
      <c r="I17" s="220">
        <v>10026.599999999999</v>
      </c>
      <c r="J17" s="357">
        <v>0</v>
      </c>
    </row>
    <row r="18" spans="1:17" ht="14.25" customHeight="1" x14ac:dyDescent="0.2">
      <c r="A18" s="467"/>
      <c r="B18" s="467"/>
      <c r="C18" s="357"/>
      <c r="D18" s="357"/>
      <c r="E18" s="357"/>
      <c r="F18" s="163"/>
      <c r="G18" s="357"/>
      <c r="H18" s="357"/>
      <c r="I18" s="164"/>
      <c r="J18" s="357"/>
    </row>
    <row r="19" spans="1:17" ht="14.25" customHeight="1" x14ac:dyDescent="0.2">
      <c r="A19" s="467" t="s">
        <v>680</v>
      </c>
      <c r="B19" s="467"/>
      <c r="C19" s="357">
        <v>0.06</v>
      </c>
      <c r="D19" s="357">
        <v>1.68</v>
      </c>
      <c r="E19" s="357">
        <v>0</v>
      </c>
      <c r="F19" s="163">
        <v>2500</v>
      </c>
      <c r="G19" s="357">
        <v>0</v>
      </c>
      <c r="H19" s="357">
        <v>0</v>
      </c>
      <c r="I19" s="220">
        <v>0</v>
      </c>
      <c r="J19" s="357">
        <v>0</v>
      </c>
    </row>
    <row r="20" spans="1:17" ht="14.25" customHeight="1" x14ac:dyDescent="0.2">
      <c r="A20" s="467" t="s">
        <v>681</v>
      </c>
      <c r="B20" s="467"/>
      <c r="C20" s="357">
        <v>0.14000000000000001</v>
      </c>
      <c r="D20" s="357">
        <v>2.9</v>
      </c>
      <c r="E20" s="357">
        <v>10</v>
      </c>
      <c r="F20" s="163">
        <v>2500</v>
      </c>
      <c r="G20" s="357">
        <v>0.99</v>
      </c>
      <c r="H20" s="357">
        <v>22.89</v>
      </c>
      <c r="I20" s="220">
        <v>0.99</v>
      </c>
      <c r="J20" s="357">
        <v>22.89</v>
      </c>
      <c r="N20" s="165"/>
      <c r="O20" s="166"/>
      <c r="P20" s="166"/>
      <c r="Q20" s="166"/>
    </row>
    <row r="21" spans="1:17" ht="14.25" customHeight="1" x14ac:dyDescent="0.2">
      <c r="A21" s="467" t="s">
        <v>682</v>
      </c>
      <c r="B21" s="467"/>
      <c r="C21" s="357">
        <v>0.4</v>
      </c>
      <c r="D21" s="357">
        <v>2.04</v>
      </c>
      <c r="E21" s="357">
        <v>10</v>
      </c>
      <c r="F21" s="163">
        <v>2500</v>
      </c>
      <c r="G21" s="357">
        <v>2.7</v>
      </c>
      <c r="H21" s="357">
        <v>24.71</v>
      </c>
      <c r="I21" s="220">
        <v>3.6900000000000004</v>
      </c>
      <c r="J21" s="357">
        <v>47.6</v>
      </c>
      <c r="N21" s="165"/>
      <c r="O21" s="166"/>
      <c r="P21" s="166"/>
      <c r="Q21" s="166"/>
    </row>
    <row r="22" spans="1:17" ht="14.25" customHeight="1" x14ac:dyDescent="0.2">
      <c r="A22" s="467" t="s">
        <v>683</v>
      </c>
      <c r="B22" s="467"/>
      <c r="C22" s="357">
        <v>1.05</v>
      </c>
      <c r="D22" s="357">
        <v>2.11</v>
      </c>
      <c r="E22" s="357">
        <v>10</v>
      </c>
      <c r="F22" s="163">
        <v>2500</v>
      </c>
      <c r="G22" s="357">
        <v>7.26</v>
      </c>
      <c r="H22" s="357">
        <v>20.76</v>
      </c>
      <c r="I22" s="220">
        <v>10.95</v>
      </c>
      <c r="J22" s="357">
        <v>68.36</v>
      </c>
      <c r="N22" s="165"/>
      <c r="O22" s="166"/>
      <c r="P22" s="166"/>
      <c r="Q22" s="166"/>
    </row>
    <row r="23" spans="1:17" ht="14.25" customHeight="1" x14ac:dyDescent="0.2">
      <c r="A23" s="467" t="s">
        <v>684</v>
      </c>
      <c r="B23" s="467"/>
      <c r="C23" s="357">
        <v>1.74</v>
      </c>
      <c r="D23" s="357">
        <v>2.42</v>
      </c>
      <c r="E23" s="357">
        <v>10</v>
      </c>
      <c r="F23" s="163">
        <v>2500</v>
      </c>
      <c r="G23" s="357">
        <v>13.97</v>
      </c>
      <c r="H23" s="357">
        <v>22.65</v>
      </c>
      <c r="I23" s="220">
        <v>24.92</v>
      </c>
      <c r="J23" s="357">
        <v>91.009999999999991</v>
      </c>
      <c r="N23" s="165"/>
      <c r="O23" s="166"/>
      <c r="P23" s="166"/>
      <c r="Q23" s="166"/>
    </row>
    <row r="24" spans="1:17" ht="14.25" customHeight="1" x14ac:dyDescent="0.2">
      <c r="A24" s="467" t="s">
        <v>685</v>
      </c>
      <c r="B24" s="467"/>
      <c r="C24" s="357">
        <v>1.84</v>
      </c>
      <c r="D24" s="357">
        <v>2.85</v>
      </c>
      <c r="E24" s="357">
        <v>10</v>
      </c>
      <c r="F24" s="163">
        <v>2500</v>
      </c>
      <c r="G24" s="357">
        <v>17.920000000000002</v>
      </c>
      <c r="H24" s="357">
        <v>26.35</v>
      </c>
      <c r="I24" s="220">
        <v>42.84</v>
      </c>
      <c r="J24" s="357">
        <v>117.35999999999999</v>
      </c>
      <c r="N24" s="165"/>
      <c r="O24" s="166"/>
      <c r="P24" s="166"/>
      <c r="Q24" s="166"/>
    </row>
    <row r="25" spans="1:17" ht="14.25" customHeight="1" x14ac:dyDescent="0.2">
      <c r="A25" s="467" t="s">
        <v>686</v>
      </c>
      <c r="B25" s="467"/>
      <c r="C25" s="357">
        <v>1.72</v>
      </c>
      <c r="D25" s="357">
        <v>3</v>
      </c>
      <c r="E25" s="357">
        <v>10</v>
      </c>
      <c r="F25" s="163">
        <v>2500</v>
      </c>
      <c r="G25" s="357">
        <v>17.79</v>
      </c>
      <c r="H25" s="357">
        <v>29.23</v>
      </c>
      <c r="I25" s="220">
        <v>60.63</v>
      </c>
      <c r="J25" s="357">
        <v>146.58999999999997</v>
      </c>
      <c r="K25" s="11"/>
      <c r="L25" s="11"/>
      <c r="N25" s="165"/>
      <c r="O25" s="166"/>
      <c r="P25" s="166"/>
      <c r="Q25" s="166"/>
    </row>
    <row r="26" spans="1:17" ht="14.25" customHeight="1" x14ac:dyDescent="0.2">
      <c r="A26" s="467" t="s">
        <v>687</v>
      </c>
      <c r="B26" s="467"/>
      <c r="C26" s="357">
        <v>2.0699999999999998</v>
      </c>
      <c r="D26" s="357">
        <v>2.91</v>
      </c>
      <c r="E26" s="357">
        <v>10</v>
      </c>
      <c r="F26" s="163">
        <v>2500</v>
      </c>
      <c r="G26" s="357">
        <v>18.97</v>
      </c>
      <c r="H26" s="357">
        <v>29.52</v>
      </c>
      <c r="I26" s="220">
        <v>79.599999999999994</v>
      </c>
      <c r="J26" s="357">
        <v>176.10999999999999</v>
      </c>
      <c r="K26" s="11"/>
      <c r="L26" s="11"/>
      <c r="N26" s="165"/>
      <c r="O26" s="166"/>
      <c r="P26" s="166"/>
      <c r="Q26" s="166"/>
    </row>
    <row r="27" spans="1:17" ht="14.25" customHeight="1" x14ac:dyDescent="0.2">
      <c r="A27" s="467" t="s">
        <v>688</v>
      </c>
      <c r="B27" s="467"/>
      <c r="C27" s="357">
        <v>2.68</v>
      </c>
      <c r="D27" s="357">
        <v>2.86</v>
      </c>
      <c r="E27" s="357">
        <v>10</v>
      </c>
      <c r="F27" s="163">
        <v>2500</v>
      </c>
      <c r="G27" s="357">
        <v>23.75</v>
      </c>
      <c r="H27" s="357">
        <v>28.83</v>
      </c>
      <c r="I27" s="220">
        <v>103.35</v>
      </c>
      <c r="J27" s="357">
        <v>204.94</v>
      </c>
      <c r="K27" s="11"/>
      <c r="L27" s="11"/>
      <c r="N27" s="165"/>
      <c r="O27" s="166"/>
      <c r="P27" s="166"/>
      <c r="Q27" s="166"/>
    </row>
    <row r="28" spans="1:17" ht="14.25" customHeight="1" x14ac:dyDescent="0.2">
      <c r="A28" s="467" t="s">
        <v>689</v>
      </c>
      <c r="B28" s="467"/>
      <c r="C28" s="357">
        <v>2.14</v>
      </c>
      <c r="D28" s="357">
        <v>2.86</v>
      </c>
      <c r="E28" s="357">
        <v>10</v>
      </c>
      <c r="F28" s="163">
        <v>2500</v>
      </c>
      <c r="G28" s="357">
        <v>24.05</v>
      </c>
      <c r="H28" s="357">
        <v>28.61</v>
      </c>
      <c r="I28" s="220">
        <v>127.39999999999999</v>
      </c>
      <c r="J28" s="357">
        <v>233.55</v>
      </c>
      <c r="K28" s="11"/>
      <c r="L28" s="11"/>
    </row>
    <row r="29" spans="1:17" ht="14.25" customHeight="1" x14ac:dyDescent="0.2">
      <c r="A29" s="467" t="s">
        <v>690</v>
      </c>
      <c r="B29" s="467"/>
      <c r="C29" s="357">
        <v>1.5</v>
      </c>
      <c r="D29" s="357">
        <v>2.94</v>
      </c>
      <c r="E29" s="357">
        <v>10</v>
      </c>
      <c r="F29" s="163">
        <v>2500</v>
      </c>
      <c r="G29" s="357">
        <v>18.170000000000002</v>
      </c>
      <c r="H29" s="357">
        <v>29.01</v>
      </c>
      <c r="I29" s="220">
        <v>145.57</v>
      </c>
      <c r="J29" s="357">
        <v>262.56</v>
      </c>
      <c r="K29" s="11"/>
      <c r="L29" s="11"/>
    </row>
    <row r="30" spans="1:17" ht="14.25" customHeight="1" x14ac:dyDescent="0.2">
      <c r="A30" s="467" t="s">
        <v>691</v>
      </c>
      <c r="B30" s="467"/>
      <c r="C30" s="357">
        <v>1.6</v>
      </c>
      <c r="D30" s="357">
        <v>2.63</v>
      </c>
      <c r="E30" s="357">
        <v>10</v>
      </c>
      <c r="F30" s="163">
        <v>2500</v>
      </c>
      <c r="G30" s="357">
        <v>15.51</v>
      </c>
      <c r="H30" s="357">
        <v>27.86</v>
      </c>
      <c r="I30" s="220">
        <v>161.07999999999998</v>
      </c>
      <c r="J30" s="357">
        <v>290.42</v>
      </c>
      <c r="K30" s="11"/>
      <c r="L30" s="11"/>
    </row>
    <row r="31" spans="1:17" ht="14.25" customHeight="1" x14ac:dyDescent="0.2">
      <c r="A31" s="467" t="s">
        <v>692</v>
      </c>
      <c r="B31" s="467"/>
      <c r="C31" s="357">
        <v>2.04</v>
      </c>
      <c r="D31" s="357">
        <v>2.25</v>
      </c>
      <c r="E31" s="357">
        <v>10</v>
      </c>
      <c r="F31" s="163">
        <v>2500</v>
      </c>
      <c r="G31" s="357">
        <v>18.2</v>
      </c>
      <c r="H31" s="357">
        <v>24.42</v>
      </c>
      <c r="I31" s="220">
        <v>179.27999999999997</v>
      </c>
      <c r="J31" s="357">
        <v>314.84000000000003</v>
      </c>
      <c r="K31" s="11"/>
      <c r="L31" s="11"/>
    </row>
    <row r="32" spans="1:17" ht="14.25" customHeight="1" x14ac:dyDescent="0.2">
      <c r="A32" s="467" t="s">
        <v>693</v>
      </c>
      <c r="B32" s="467"/>
      <c r="C32" s="357">
        <v>2.2000000000000002</v>
      </c>
      <c r="D32" s="357">
        <v>2.13</v>
      </c>
      <c r="E32" s="357">
        <v>10</v>
      </c>
      <c r="F32" s="163">
        <v>2500</v>
      </c>
      <c r="G32" s="357">
        <v>21.2</v>
      </c>
      <c r="H32" s="357">
        <v>21.91</v>
      </c>
      <c r="I32" s="220">
        <v>200.47999999999996</v>
      </c>
      <c r="J32" s="357">
        <v>336.75000000000006</v>
      </c>
      <c r="K32" s="11"/>
      <c r="L32" s="11"/>
      <c r="M32" s="167"/>
      <c r="N32" s="168"/>
    </row>
    <row r="33" spans="1:14" ht="14.25" customHeight="1" x14ac:dyDescent="0.2">
      <c r="A33" s="467" t="s">
        <v>694</v>
      </c>
      <c r="B33" s="467"/>
      <c r="C33" s="357">
        <v>2.11</v>
      </c>
      <c r="D33" s="357">
        <v>2.2000000000000002</v>
      </c>
      <c r="E33" s="357">
        <v>10</v>
      </c>
      <c r="F33" s="163">
        <v>2500</v>
      </c>
      <c r="G33" s="357">
        <v>21.55</v>
      </c>
      <c r="H33" s="357">
        <v>21.63</v>
      </c>
      <c r="I33" s="220">
        <v>222.02999999999997</v>
      </c>
      <c r="J33" s="357">
        <v>358.38000000000005</v>
      </c>
      <c r="K33" s="11"/>
      <c r="L33" s="11"/>
      <c r="M33" s="167"/>
      <c r="N33" s="169"/>
    </row>
    <row r="34" spans="1:14" ht="14.25" customHeight="1" x14ac:dyDescent="0.2">
      <c r="A34" s="467" t="s">
        <v>695</v>
      </c>
      <c r="B34" s="467"/>
      <c r="C34" s="357">
        <v>2.09</v>
      </c>
      <c r="D34" s="357">
        <v>2.2400000000000002</v>
      </c>
      <c r="E34" s="357">
        <v>10</v>
      </c>
      <c r="F34" s="163">
        <v>2500</v>
      </c>
      <c r="G34" s="357">
        <v>20.99</v>
      </c>
      <c r="H34" s="357">
        <v>22.16</v>
      </c>
      <c r="I34" s="220">
        <v>243.01999999999998</v>
      </c>
      <c r="J34" s="357">
        <v>380.54000000000008</v>
      </c>
      <c r="K34" s="11"/>
      <c r="L34" s="11"/>
      <c r="M34" s="167"/>
      <c r="N34" s="169"/>
    </row>
    <row r="35" spans="1:14" ht="14.25" customHeight="1" x14ac:dyDescent="0.2">
      <c r="A35" s="467" t="s">
        <v>696</v>
      </c>
      <c r="B35" s="467"/>
      <c r="C35" s="357">
        <v>2.2799999999999998</v>
      </c>
      <c r="D35" s="357">
        <v>2.38</v>
      </c>
      <c r="E35" s="357">
        <v>10</v>
      </c>
      <c r="F35" s="163">
        <v>2500</v>
      </c>
      <c r="G35" s="357">
        <v>21.85</v>
      </c>
      <c r="H35" s="357">
        <v>23.1</v>
      </c>
      <c r="I35" s="220">
        <v>264.87</v>
      </c>
      <c r="J35" s="357">
        <v>403.6400000000001</v>
      </c>
      <c r="K35" s="11"/>
      <c r="L35" s="11"/>
      <c r="M35" s="167"/>
      <c r="N35" s="169"/>
    </row>
    <row r="36" spans="1:14" ht="14.25" customHeight="1" x14ac:dyDescent="0.2">
      <c r="A36" s="467" t="s">
        <v>697</v>
      </c>
      <c r="B36" s="467"/>
      <c r="C36" s="357">
        <v>2.42</v>
      </c>
      <c r="D36" s="357">
        <v>2.56</v>
      </c>
      <c r="E36" s="357">
        <v>10</v>
      </c>
      <c r="F36" s="163">
        <v>2500</v>
      </c>
      <c r="G36" s="357">
        <v>23.51</v>
      </c>
      <c r="H36" s="357">
        <v>24.7</v>
      </c>
      <c r="I36" s="220">
        <v>288.38</v>
      </c>
      <c r="J36" s="357">
        <v>428.34000000000009</v>
      </c>
      <c r="K36" s="11"/>
      <c r="L36" s="11"/>
      <c r="M36" s="167"/>
      <c r="N36" s="169"/>
    </row>
    <row r="37" spans="1:14" x14ac:dyDescent="0.2">
      <c r="A37" s="467" t="s">
        <v>698</v>
      </c>
      <c r="B37" s="467"/>
      <c r="C37" s="357">
        <v>2.11</v>
      </c>
      <c r="D37" s="357">
        <v>2.78</v>
      </c>
      <c r="E37" s="357">
        <v>10</v>
      </c>
      <c r="F37" s="163">
        <v>2500</v>
      </c>
      <c r="G37" s="357">
        <v>22.69</v>
      </c>
      <c r="H37" s="357">
        <v>26.66</v>
      </c>
      <c r="I37" s="220">
        <v>311.07</v>
      </c>
      <c r="J37" s="357">
        <v>455.00000000000011</v>
      </c>
      <c r="K37" s="11"/>
      <c r="L37" s="11"/>
      <c r="M37" s="167"/>
      <c r="N37" s="169"/>
    </row>
    <row r="38" spans="1:14" x14ac:dyDescent="0.2">
      <c r="A38" s="467" t="s">
        <v>699</v>
      </c>
      <c r="B38" s="467"/>
      <c r="C38" s="357">
        <v>1.7</v>
      </c>
      <c r="D38" s="357">
        <v>2.58</v>
      </c>
      <c r="E38" s="357">
        <v>10</v>
      </c>
      <c r="F38" s="163">
        <v>2500</v>
      </c>
      <c r="G38" s="357">
        <v>19.07</v>
      </c>
      <c r="H38" s="357">
        <v>26.81</v>
      </c>
      <c r="I38" s="220">
        <v>330.14</v>
      </c>
      <c r="J38" s="357">
        <v>481.81000000000012</v>
      </c>
      <c r="K38" s="11"/>
      <c r="L38" s="11"/>
      <c r="M38" s="167"/>
      <c r="N38" s="169"/>
    </row>
    <row r="39" spans="1:14" x14ac:dyDescent="0.2">
      <c r="A39" s="467" t="s">
        <v>700</v>
      </c>
      <c r="B39" s="467"/>
      <c r="C39" s="357">
        <v>1.45</v>
      </c>
      <c r="D39" s="357">
        <v>2.19</v>
      </c>
      <c r="E39" s="357">
        <v>10</v>
      </c>
      <c r="F39" s="163">
        <v>2500</v>
      </c>
      <c r="G39" s="357">
        <v>15.75</v>
      </c>
      <c r="H39" s="357">
        <v>23.89</v>
      </c>
      <c r="I39" s="220">
        <v>345.89</v>
      </c>
      <c r="J39" s="357">
        <v>505.7000000000001</v>
      </c>
      <c r="K39" s="11"/>
      <c r="L39" s="11"/>
      <c r="M39" s="167"/>
      <c r="N39" s="169"/>
    </row>
    <row r="40" spans="1:14" x14ac:dyDescent="0.2">
      <c r="A40" s="467" t="s">
        <v>701</v>
      </c>
      <c r="B40" s="467"/>
      <c r="C40" s="357">
        <v>1.1499999999999999</v>
      </c>
      <c r="D40" s="357">
        <v>2.2000000000000002</v>
      </c>
      <c r="E40" s="357">
        <v>10</v>
      </c>
      <c r="F40" s="163">
        <v>2500</v>
      </c>
      <c r="G40" s="357">
        <v>13</v>
      </c>
      <c r="H40" s="357">
        <v>21.95</v>
      </c>
      <c r="I40" s="220">
        <v>358.89</v>
      </c>
      <c r="J40" s="357">
        <v>527.65000000000009</v>
      </c>
      <c r="K40" s="11"/>
      <c r="L40" s="11"/>
    </row>
    <row r="41" spans="1:14" x14ac:dyDescent="0.2">
      <c r="A41" s="467" t="s">
        <v>702</v>
      </c>
      <c r="B41" s="467"/>
      <c r="C41" s="357">
        <v>0.62</v>
      </c>
      <c r="D41" s="357">
        <v>2.33</v>
      </c>
      <c r="E41" s="357">
        <v>10</v>
      </c>
      <c r="F41" s="163">
        <v>2500</v>
      </c>
      <c r="G41" s="357">
        <v>8.85</v>
      </c>
      <c r="H41" s="357">
        <v>22.64</v>
      </c>
      <c r="I41" s="220">
        <v>367.74</v>
      </c>
      <c r="J41" s="357">
        <v>550.29000000000008</v>
      </c>
      <c r="K41" s="11"/>
      <c r="L41" s="11"/>
    </row>
    <row r="42" spans="1:14" x14ac:dyDescent="0.2">
      <c r="A42" s="467" t="s">
        <v>703</v>
      </c>
      <c r="B42" s="467"/>
      <c r="C42" s="357">
        <v>0.27</v>
      </c>
      <c r="D42" s="357">
        <v>2.4500000000000002</v>
      </c>
      <c r="E42" s="357">
        <v>10</v>
      </c>
      <c r="F42" s="163">
        <v>2500</v>
      </c>
      <c r="G42" s="357">
        <v>4.46</v>
      </c>
      <c r="H42" s="357">
        <v>23.9</v>
      </c>
      <c r="I42" s="220">
        <v>372.2</v>
      </c>
      <c r="J42" s="357">
        <v>574.19000000000005</v>
      </c>
      <c r="K42" s="11"/>
      <c r="L42" s="11"/>
    </row>
    <row r="43" spans="1:14" x14ac:dyDescent="0.2">
      <c r="A43" s="467" t="s">
        <v>704</v>
      </c>
      <c r="B43" s="467"/>
      <c r="C43" s="357">
        <v>0.2</v>
      </c>
      <c r="D43" s="357">
        <v>2.67</v>
      </c>
      <c r="E43" s="357">
        <v>10</v>
      </c>
      <c r="F43" s="163">
        <v>2500</v>
      </c>
      <c r="G43" s="357">
        <v>2.37</v>
      </c>
      <c r="H43" s="357">
        <v>25.59</v>
      </c>
      <c r="I43" s="220">
        <v>374.57</v>
      </c>
      <c r="J43" s="357">
        <v>599.78000000000009</v>
      </c>
      <c r="K43" s="11"/>
      <c r="L43" s="11"/>
    </row>
    <row r="44" spans="1:14" x14ac:dyDescent="0.2">
      <c r="A44" s="467" t="s">
        <v>705</v>
      </c>
      <c r="B44" s="467"/>
      <c r="C44" s="357">
        <v>0.14000000000000001</v>
      </c>
      <c r="D44" s="357">
        <v>2.46</v>
      </c>
      <c r="E44" s="357">
        <v>10</v>
      </c>
      <c r="F44" s="163">
        <v>2500</v>
      </c>
      <c r="G44" s="357">
        <v>1.71</v>
      </c>
      <c r="H44" s="357">
        <v>25.62</v>
      </c>
      <c r="I44" s="220">
        <v>376.28</v>
      </c>
      <c r="J44" s="357">
        <v>625.40000000000009</v>
      </c>
      <c r="K44" s="11"/>
      <c r="L44" s="11"/>
    </row>
    <row r="45" spans="1:14" x14ac:dyDescent="0.2">
      <c r="A45" s="467" t="s">
        <v>706</v>
      </c>
      <c r="B45" s="467"/>
      <c r="C45" s="357">
        <v>0</v>
      </c>
      <c r="D45" s="357">
        <v>2.27</v>
      </c>
      <c r="E45" s="357">
        <v>10</v>
      </c>
      <c r="F45" s="163">
        <v>2500</v>
      </c>
      <c r="G45" s="357">
        <v>0.72</v>
      </c>
      <c r="H45" s="357">
        <v>23.63</v>
      </c>
      <c r="I45" s="220">
        <v>377</v>
      </c>
      <c r="J45" s="357">
        <v>649.03000000000009</v>
      </c>
      <c r="K45" s="11"/>
      <c r="L45" s="11"/>
    </row>
    <row r="46" spans="1:14" x14ac:dyDescent="0.2">
      <c r="A46" s="467" t="s">
        <v>707</v>
      </c>
      <c r="B46" s="467"/>
      <c r="C46" s="357">
        <v>0.05</v>
      </c>
      <c r="D46" s="357">
        <v>2.37</v>
      </c>
      <c r="E46" s="357">
        <v>10</v>
      </c>
      <c r="F46" s="163">
        <v>2500</v>
      </c>
      <c r="G46" s="357">
        <v>0.27</v>
      </c>
      <c r="H46" s="357">
        <v>23.2</v>
      </c>
      <c r="I46" s="220">
        <v>377.27</v>
      </c>
      <c r="J46" s="357">
        <v>672.23000000000013</v>
      </c>
      <c r="K46" s="11"/>
      <c r="L46" s="11"/>
    </row>
    <row r="47" spans="1:14" x14ac:dyDescent="0.2">
      <c r="A47" s="467" t="s">
        <v>708</v>
      </c>
      <c r="B47" s="467"/>
      <c r="C47" s="357">
        <v>0.4</v>
      </c>
      <c r="D47" s="357">
        <v>2.4700000000000002</v>
      </c>
      <c r="E47" s="357">
        <v>10</v>
      </c>
      <c r="F47" s="163">
        <v>2500</v>
      </c>
      <c r="G47" s="357">
        <v>2.27</v>
      </c>
      <c r="H47" s="357">
        <v>24.18</v>
      </c>
      <c r="I47" s="220">
        <v>379.53999999999996</v>
      </c>
      <c r="J47" s="357">
        <v>696.41000000000008</v>
      </c>
      <c r="K47" s="11"/>
      <c r="L47" s="11"/>
    </row>
    <row r="48" spans="1:14" x14ac:dyDescent="0.2">
      <c r="A48" s="467" t="s">
        <v>709</v>
      </c>
      <c r="B48" s="467"/>
      <c r="C48" s="357">
        <v>1.07</v>
      </c>
      <c r="D48" s="357">
        <v>2.7</v>
      </c>
      <c r="E48" s="357">
        <v>10</v>
      </c>
      <c r="F48" s="163">
        <v>2500</v>
      </c>
      <c r="G48" s="357">
        <v>7.39</v>
      </c>
      <c r="H48" s="357">
        <v>25.85</v>
      </c>
      <c r="I48" s="220">
        <v>386.92999999999995</v>
      </c>
      <c r="J48" s="357">
        <v>722.2600000000001</v>
      </c>
      <c r="K48" s="11"/>
      <c r="L48" s="11"/>
    </row>
    <row r="49" spans="1:12" x14ac:dyDescent="0.2">
      <c r="A49" s="467" t="s">
        <v>710</v>
      </c>
      <c r="B49" s="467"/>
      <c r="C49" s="357">
        <v>1.88</v>
      </c>
      <c r="D49" s="357">
        <v>2.6</v>
      </c>
      <c r="E49" s="357">
        <v>10</v>
      </c>
      <c r="F49" s="163">
        <v>2500</v>
      </c>
      <c r="G49" s="357">
        <v>14.77</v>
      </c>
      <c r="H49" s="357">
        <v>26.5</v>
      </c>
      <c r="I49" s="220">
        <v>401.69999999999993</v>
      </c>
      <c r="J49" s="357">
        <v>748.7600000000001</v>
      </c>
      <c r="K49" s="11"/>
      <c r="L49" s="11"/>
    </row>
    <row r="50" spans="1:12" x14ac:dyDescent="0.2">
      <c r="A50" s="467" t="s">
        <v>711</v>
      </c>
      <c r="B50" s="467"/>
      <c r="C50" s="357">
        <v>2.82</v>
      </c>
      <c r="D50" s="357">
        <v>2.3199999999999998</v>
      </c>
      <c r="E50" s="357">
        <v>10</v>
      </c>
      <c r="F50" s="163">
        <v>2500</v>
      </c>
      <c r="G50" s="357">
        <v>23.48</v>
      </c>
      <c r="H50" s="357">
        <v>24.59</v>
      </c>
      <c r="I50" s="220">
        <v>425.17999999999995</v>
      </c>
      <c r="J50" s="357">
        <v>773.35000000000014</v>
      </c>
      <c r="K50" s="11"/>
      <c r="L50" s="11"/>
    </row>
    <row r="51" spans="1:12" x14ac:dyDescent="0.2">
      <c r="A51" s="467" t="s">
        <v>712</v>
      </c>
      <c r="B51" s="467"/>
      <c r="C51" s="357">
        <v>3.78</v>
      </c>
      <c r="D51" s="357">
        <v>2.1800000000000002</v>
      </c>
      <c r="E51" s="357">
        <v>10</v>
      </c>
      <c r="F51" s="163">
        <v>2500</v>
      </c>
      <c r="G51" s="357">
        <v>32.97</v>
      </c>
      <c r="H51" s="357">
        <v>22.52</v>
      </c>
      <c r="I51" s="220">
        <v>458.15</v>
      </c>
      <c r="J51" s="357">
        <v>795.87000000000012</v>
      </c>
      <c r="K51" s="11"/>
      <c r="L51" s="11"/>
    </row>
    <row r="52" spans="1:12" x14ac:dyDescent="0.2">
      <c r="A52" s="467" t="s">
        <v>713</v>
      </c>
      <c r="B52" s="467"/>
      <c r="C52" s="357">
        <v>3.99</v>
      </c>
      <c r="D52" s="357">
        <v>2.34</v>
      </c>
      <c r="E52" s="357">
        <v>10</v>
      </c>
      <c r="F52" s="163">
        <v>2500</v>
      </c>
      <c r="G52" s="357">
        <v>38.86</v>
      </c>
      <c r="H52" s="357">
        <v>22.62</v>
      </c>
      <c r="I52" s="220">
        <v>497.01</v>
      </c>
      <c r="J52" s="357">
        <v>818.49000000000012</v>
      </c>
      <c r="K52" s="11"/>
      <c r="L52" s="11"/>
    </row>
    <row r="53" spans="1:12" x14ac:dyDescent="0.2">
      <c r="A53" s="467" t="s">
        <v>714</v>
      </c>
      <c r="B53" s="467"/>
      <c r="C53" s="357">
        <v>4.3899999999999997</v>
      </c>
      <c r="D53" s="357">
        <v>2.0699999999999998</v>
      </c>
      <c r="E53" s="357">
        <v>10</v>
      </c>
      <c r="F53" s="163">
        <v>2500</v>
      </c>
      <c r="G53" s="357">
        <v>41.93</v>
      </c>
      <c r="H53" s="357">
        <v>22.05</v>
      </c>
      <c r="I53" s="220">
        <v>538.93999999999994</v>
      </c>
      <c r="J53" s="357">
        <v>840.54000000000008</v>
      </c>
      <c r="K53" s="11"/>
      <c r="L53" s="11"/>
    </row>
    <row r="54" spans="1:12" x14ac:dyDescent="0.2">
      <c r="A54" s="467" t="s">
        <v>715</v>
      </c>
      <c r="B54" s="467"/>
      <c r="C54" s="357">
        <v>4.7</v>
      </c>
      <c r="D54" s="357">
        <v>2.0699999999999998</v>
      </c>
      <c r="E54" s="357">
        <v>10</v>
      </c>
      <c r="F54" s="163">
        <v>2500</v>
      </c>
      <c r="G54" s="357">
        <v>45.46</v>
      </c>
      <c r="H54" s="357">
        <v>20.7</v>
      </c>
      <c r="I54" s="220">
        <v>584.4</v>
      </c>
      <c r="J54" s="357">
        <v>861.24000000000012</v>
      </c>
      <c r="K54" s="11"/>
      <c r="L54" s="11"/>
    </row>
    <row r="55" spans="1:12" x14ac:dyDescent="0.2">
      <c r="A55" s="467" t="s">
        <v>716</v>
      </c>
      <c r="B55" s="467"/>
      <c r="C55" s="357">
        <v>5.3</v>
      </c>
      <c r="D55" s="357">
        <v>2.1</v>
      </c>
      <c r="E55" s="357">
        <v>10</v>
      </c>
      <c r="F55" s="163">
        <v>2500</v>
      </c>
      <c r="G55" s="357">
        <v>49.64</v>
      </c>
      <c r="H55" s="357">
        <v>20.85</v>
      </c>
      <c r="I55" s="220">
        <v>634.04</v>
      </c>
      <c r="J55" s="357">
        <v>882.09000000000015</v>
      </c>
      <c r="K55" s="11"/>
      <c r="L55" s="11"/>
    </row>
    <row r="56" spans="1:12" x14ac:dyDescent="0.2">
      <c r="A56" s="467" t="s">
        <v>717</v>
      </c>
      <c r="B56" s="467"/>
      <c r="C56" s="357">
        <v>4.97</v>
      </c>
      <c r="D56" s="357">
        <v>2.27</v>
      </c>
      <c r="E56" s="357">
        <v>10</v>
      </c>
      <c r="F56" s="163">
        <v>2500</v>
      </c>
      <c r="G56" s="357">
        <v>50.97</v>
      </c>
      <c r="H56" s="357">
        <v>21.85</v>
      </c>
      <c r="I56" s="220">
        <v>685.01</v>
      </c>
      <c r="J56" s="357">
        <v>903.94000000000017</v>
      </c>
      <c r="K56" s="11"/>
      <c r="L56" s="11"/>
    </row>
    <row r="57" spans="1:12" x14ac:dyDescent="0.2">
      <c r="A57" s="467" t="s">
        <v>718</v>
      </c>
      <c r="B57" s="467"/>
      <c r="C57" s="357">
        <v>4.68</v>
      </c>
      <c r="D57" s="357">
        <v>2.56</v>
      </c>
      <c r="E57" s="357">
        <v>10</v>
      </c>
      <c r="F57" s="163">
        <v>2500</v>
      </c>
      <c r="G57" s="357">
        <v>48.22</v>
      </c>
      <c r="H57" s="357">
        <v>24.16</v>
      </c>
      <c r="I57" s="220">
        <v>733.23</v>
      </c>
      <c r="J57" s="357">
        <v>928.10000000000014</v>
      </c>
      <c r="K57" s="11"/>
      <c r="L57" s="11"/>
    </row>
    <row r="58" spans="1:12" x14ac:dyDescent="0.2">
      <c r="A58" s="467" t="s">
        <v>719</v>
      </c>
      <c r="B58" s="467"/>
      <c r="C58" s="357">
        <v>4.4400000000000004</v>
      </c>
      <c r="D58" s="357">
        <v>2.56</v>
      </c>
      <c r="E58" s="357">
        <v>10</v>
      </c>
      <c r="F58" s="163">
        <v>2500</v>
      </c>
      <c r="G58" s="357">
        <v>45.6</v>
      </c>
      <c r="H58" s="357">
        <v>25.62</v>
      </c>
      <c r="I58" s="220">
        <v>778.83</v>
      </c>
      <c r="J58" s="357">
        <v>953.72000000000014</v>
      </c>
      <c r="K58" s="11"/>
      <c r="L58" s="11"/>
    </row>
    <row r="59" spans="1:12" x14ac:dyDescent="0.2">
      <c r="A59" s="467" t="s">
        <v>720</v>
      </c>
      <c r="B59" s="467"/>
      <c r="C59" s="357">
        <v>3.5</v>
      </c>
      <c r="D59" s="357">
        <v>2.63</v>
      </c>
      <c r="E59" s="357">
        <v>10</v>
      </c>
      <c r="F59" s="163">
        <v>2500</v>
      </c>
      <c r="G59" s="357">
        <v>39.700000000000003</v>
      </c>
      <c r="H59" s="357">
        <v>25.97</v>
      </c>
      <c r="I59" s="220">
        <v>818.53000000000009</v>
      </c>
      <c r="J59" s="357">
        <v>979.69000000000017</v>
      </c>
      <c r="K59" s="11"/>
      <c r="L59" s="11"/>
    </row>
    <row r="60" spans="1:12" x14ac:dyDescent="0.2">
      <c r="A60" s="467" t="s">
        <v>721</v>
      </c>
      <c r="B60" s="467"/>
      <c r="C60" s="357">
        <v>3.01</v>
      </c>
      <c r="D60" s="357">
        <v>2.9</v>
      </c>
      <c r="E60" s="357">
        <v>10</v>
      </c>
      <c r="F60" s="163">
        <v>2500</v>
      </c>
      <c r="G60" s="357">
        <v>32.549999999999997</v>
      </c>
      <c r="H60" s="357">
        <v>27.63</v>
      </c>
      <c r="I60" s="220">
        <v>851.08</v>
      </c>
      <c r="J60" s="357">
        <v>1007.3200000000002</v>
      </c>
      <c r="K60" s="11"/>
      <c r="L60" s="11"/>
    </row>
    <row r="61" spans="1:12" x14ac:dyDescent="0.2">
      <c r="A61" s="467" t="s">
        <v>722</v>
      </c>
      <c r="B61" s="467"/>
      <c r="C61" s="357">
        <v>3.28</v>
      </c>
      <c r="D61" s="357">
        <v>3.19</v>
      </c>
      <c r="E61" s="357">
        <v>10</v>
      </c>
      <c r="F61" s="163">
        <v>2500</v>
      </c>
      <c r="G61" s="357">
        <v>31.49</v>
      </c>
      <c r="H61" s="357">
        <v>30.43</v>
      </c>
      <c r="I61" s="220">
        <v>882.57</v>
      </c>
      <c r="J61" s="357">
        <v>1037.7500000000002</v>
      </c>
      <c r="K61" s="11"/>
    </row>
    <row r="62" spans="1:12" x14ac:dyDescent="0.2">
      <c r="A62" s="467" t="s">
        <v>723</v>
      </c>
      <c r="B62" s="467"/>
      <c r="C62" s="357">
        <v>3.31</v>
      </c>
      <c r="D62" s="357">
        <v>3.19</v>
      </c>
      <c r="E62" s="357">
        <v>10</v>
      </c>
      <c r="F62" s="163">
        <v>2500</v>
      </c>
      <c r="G62" s="357">
        <v>32.950000000000003</v>
      </c>
      <c r="H62" s="357">
        <v>31.87</v>
      </c>
      <c r="I62" s="220">
        <v>915.5200000000001</v>
      </c>
      <c r="J62" s="357">
        <v>1069.6200000000001</v>
      </c>
    </row>
    <row r="63" spans="1:12" x14ac:dyDescent="0.2">
      <c r="A63" s="467" t="s">
        <v>724</v>
      </c>
      <c r="B63" s="467"/>
      <c r="C63" s="357">
        <v>3.58</v>
      </c>
      <c r="D63" s="357">
        <v>3.69</v>
      </c>
      <c r="E63" s="357">
        <v>10</v>
      </c>
      <c r="F63" s="163">
        <v>2500</v>
      </c>
      <c r="G63" s="357">
        <v>34.409999999999997</v>
      </c>
      <c r="H63" s="357">
        <v>34.4</v>
      </c>
      <c r="I63" s="220">
        <v>949.93000000000006</v>
      </c>
      <c r="J63" s="357">
        <v>1104.0200000000002</v>
      </c>
    </row>
    <row r="64" spans="1:12" x14ac:dyDescent="0.2">
      <c r="A64" s="467" t="s">
        <v>725</v>
      </c>
      <c r="B64" s="467"/>
      <c r="C64" s="357">
        <v>2.98</v>
      </c>
      <c r="D64" s="357">
        <v>3.77</v>
      </c>
      <c r="E64" s="357">
        <v>10</v>
      </c>
      <c r="F64" s="163">
        <v>2500</v>
      </c>
      <c r="G64" s="357">
        <v>32.79</v>
      </c>
      <c r="H64" s="357">
        <v>37.33</v>
      </c>
      <c r="I64" s="220">
        <v>982.72</v>
      </c>
      <c r="J64" s="357">
        <v>1141.3500000000001</v>
      </c>
    </row>
    <row r="65" spans="1:10" x14ac:dyDescent="0.2">
      <c r="A65" s="467" t="s">
        <v>726</v>
      </c>
      <c r="B65" s="467"/>
      <c r="C65" s="357">
        <v>2.52</v>
      </c>
      <c r="D65" s="357">
        <v>3.46</v>
      </c>
      <c r="E65" s="357">
        <v>10</v>
      </c>
      <c r="F65" s="163">
        <v>2500</v>
      </c>
      <c r="G65" s="357">
        <v>27.48</v>
      </c>
      <c r="H65" s="357">
        <v>36.130000000000003</v>
      </c>
      <c r="I65" s="220">
        <v>1010.2</v>
      </c>
      <c r="J65" s="357">
        <v>1177.4800000000002</v>
      </c>
    </row>
    <row r="66" spans="1:10" x14ac:dyDescent="0.2">
      <c r="A66" s="467" t="s">
        <v>727</v>
      </c>
      <c r="B66" s="467"/>
      <c r="C66" s="357">
        <v>1.57</v>
      </c>
      <c r="D66" s="357">
        <v>3.16</v>
      </c>
      <c r="E66" s="357">
        <v>10</v>
      </c>
      <c r="F66" s="163">
        <v>2500</v>
      </c>
      <c r="G66" s="357">
        <v>20.440000000000001</v>
      </c>
      <c r="H66" s="357">
        <v>33.08</v>
      </c>
      <c r="I66" s="220">
        <v>1030.6400000000001</v>
      </c>
      <c r="J66" s="357">
        <v>1210.5600000000002</v>
      </c>
    </row>
    <row r="67" spans="1:10" x14ac:dyDescent="0.2">
      <c r="A67" s="467" t="s">
        <v>728</v>
      </c>
      <c r="B67" s="467"/>
      <c r="C67" s="357">
        <v>0.83</v>
      </c>
      <c r="D67" s="357">
        <v>3.58</v>
      </c>
      <c r="E67" s="357">
        <v>10</v>
      </c>
      <c r="F67" s="163">
        <v>2500</v>
      </c>
      <c r="G67" s="357">
        <v>12</v>
      </c>
      <c r="H67" s="357">
        <v>33.71</v>
      </c>
      <c r="I67" s="220">
        <v>1042.6400000000001</v>
      </c>
      <c r="J67" s="357">
        <v>1244.2700000000002</v>
      </c>
    </row>
    <row r="68" spans="1:10" x14ac:dyDescent="0.2">
      <c r="A68" s="467" t="s">
        <v>729</v>
      </c>
      <c r="B68" s="467"/>
      <c r="C68" s="357">
        <v>0.89</v>
      </c>
      <c r="D68" s="357">
        <v>3.46</v>
      </c>
      <c r="E68" s="357">
        <v>10</v>
      </c>
      <c r="F68" s="163">
        <v>2500</v>
      </c>
      <c r="G68" s="357">
        <v>8.61</v>
      </c>
      <c r="H68" s="357">
        <v>35.22</v>
      </c>
      <c r="I68" s="220">
        <v>1051.25</v>
      </c>
      <c r="J68" s="357">
        <v>1279.4900000000002</v>
      </c>
    </row>
    <row r="69" spans="1:10" x14ac:dyDescent="0.2">
      <c r="A69" s="467" t="s">
        <v>730</v>
      </c>
      <c r="B69" s="467"/>
      <c r="C69" s="357">
        <v>1.5</v>
      </c>
      <c r="D69" s="357">
        <v>2.96</v>
      </c>
      <c r="E69" s="357">
        <v>10</v>
      </c>
      <c r="F69" s="163">
        <v>2500</v>
      </c>
      <c r="G69" s="357">
        <v>11.95</v>
      </c>
      <c r="H69" s="357">
        <v>32.14</v>
      </c>
      <c r="I69" s="220">
        <v>1063.2</v>
      </c>
      <c r="J69" s="357">
        <v>1311.6300000000003</v>
      </c>
    </row>
    <row r="70" spans="1:10" x14ac:dyDescent="0.2">
      <c r="A70" s="467" t="s">
        <v>731</v>
      </c>
      <c r="B70" s="467"/>
      <c r="C70" s="357">
        <v>1.74</v>
      </c>
      <c r="D70" s="357">
        <v>3.06</v>
      </c>
      <c r="E70" s="357">
        <v>10</v>
      </c>
      <c r="F70" s="163">
        <v>2500</v>
      </c>
      <c r="G70" s="357">
        <v>16.170000000000002</v>
      </c>
      <c r="H70" s="357">
        <v>30.1</v>
      </c>
      <c r="I70" s="220">
        <v>1079.3700000000001</v>
      </c>
      <c r="J70" s="357">
        <v>1341.7300000000002</v>
      </c>
    </row>
    <row r="71" spans="1:10" x14ac:dyDescent="0.2">
      <c r="A71" s="467" t="s">
        <v>732</v>
      </c>
      <c r="B71" s="467"/>
      <c r="C71" s="357">
        <v>1.67</v>
      </c>
      <c r="D71" s="357">
        <v>3.14</v>
      </c>
      <c r="E71" s="357">
        <v>10</v>
      </c>
      <c r="F71" s="163">
        <v>2500</v>
      </c>
      <c r="G71" s="357">
        <v>17.03</v>
      </c>
      <c r="H71" s="357">
        <v>30.99</v>
      </c>
      <c r="I71" s="220">
        <v>1096.4000000000001</v>
      </c>
      <c r="J71" s="357">
        <v>1372.7200000000003</v>
      </c>
    </row>
    <row r="72" spans="1:10" x14ac:dyDescent="0.2">
      <c r="A72" s="467" t="s">
        <v>733</v>
      </c>
      <c r="B72" s="467"/>
      <c r="C72" s="357">
        <v>2.14</v>
      </c>
      <c r="D72" s="357">
        <v>3.02</v>
      </c>
      <c r="E72" s="357">
        <v>10</v>
      </c>
      <c r="F72" s="163">
        <v>2500</v>
      </c>
      <c r="G72" s="357">
        <v>19.05</v>
      </c>
      <c r="H72" s="357">
        <v>30.81</v>
      </c>
      <c r="I72" s="220">
        <v>1115.45</v>
      </c>
      <c r="J72" s="357">
        <v>1403.5300000000002</v>
      </c>
    </row>
    <row r="73" spans="1:10" x14ac:dyDescent="0.2">
      <c r="A73" s="467" t="s">
        <v>734</v>
      </c>
      <c r="B73" s="467"/>
      <c r="C73" s="357">
        <v>2.96</v>
      </c>
      <c r="D73" s="357">
        <v>3.28</v>
      </c>
      <c r="E73" s="357">
        <v>10</v>
      </c>
      <c r="F73" s="163">
        <v>2500</v>
      </c>
      <c r="G73" s="357">
        <v>25.54</v>
      </c>
      <c r="H73" s="357">
        <v>31.48</v>
      </c>
      <c r="I73" s="220">
        <v>1140.99</v>
      </c>
      <c r="J73" s="357">
        <v>1435.0100000000002</v>
      </c>
    </row>
    <row r="74" spans="1:10" x14ac:dyDescent="0.2">
      <c r="A74" s="467" t="s">
        <v>735</v>
      </c>
      <c r="B74" s="467"/>
      <c r="C74" s="357">
        <v>3.69</v>
      </c>
      <c r="D74" s="357">
        <v>3.62</v>
      </c>
      <c r="E74" s="357">
        <v>10</v>
      </c>
      <c r="F74" s="163">
        <v>2500</v>
      </c>
      <c r="G74" s="357">
        <v>33.26</v>
      </c>
      <c r="H74" s="357">
        <v>34.49</v>
      </c>
      <c r="I74" s="220">
        <v>1174.25</v>
      </c>
      <c r="J74" s="357">
        <v>1469.5000000000002</v>
      </c>
    </row>
    <row r="75" spans="1:10" x14ac:dyDescent="0.2">
      <c r="A75" s="467" t="s">
        <v>736</v>
      </c>
      <c r="B75" s="467"/>
      <c r="C75" s="357">
        <v>3.75</v>
      </c>
      <c r="D75" s="357">
        <v>3.78</v>
      </c>
      <c r="E75" s="357">
        <v>10</v>
      </c>
      <c r="F75" s="163">
        <v>2500</v>
      </c>
      <c r="G75" s="357">
        <v>37.19</v>
      </c>
      <c r="H75" s="357">
        <v>36.99</v>
      </c>
      <c r="I75" s="220">
        <v>1211.44</v>
      </c>
      <c r="J75" s="357">
        <v>1506.4900000000002</v>
      </c>
    </row>
    <row r="76" spans="1:10" x14ac:dyDescent="0.2">
      <c r="A76" s="467" t="s">
        <v>737</v>
      </c>
      <c r="B76" s="467"/>
      <c r="C76" s="357">
        <v>3.76</v>
      </c>
      <c r="D76" s="357">
        <v>2.76</v>
      </c>
      <c r="E76" s="357">
        <v>10</v>
      </c>
      <c r="F76" s="163">
        <v>2500</v>
      </c>
      <c r="G76" s="357">
        <v>37.520000000000003</v>
      </c>
      <c r="H76" s="357">
        <v>32.71</v>
      </c>
      <c r="I76" s="220">
        <v>1248.96</v>
      </c>
      <c r="J76" s="357">
        <v>1539.2000000000003</v>
      </c>
    </row>
    <row r="77" spans="1:10" x14ac:dyDescent="0.2">
      <c r="A77" s="467" t="s">
        <v>738</v>
      </c>
      <c r="B77" s="467"/>
      <c r="C77" s="357">
        <v>2.64</v>
      </c>
      <c r="D77" s="357">
        <v>2.9</v>
      </c>
      <c r="E77" s="357">
        <v>10</v>
      </c>
      <c r="F77" s="163">
        <v>2500</v>
      </c>
      <c r="G77" s="357">
        <v>31.99</v>
      </c>
      <c r="H77" s="357">
        <v>28.31</v>
      </c>
      <c r="I77" s="220">
        <v>1280.95</v>
      </c>
      <c r="J77" s="357">
        <v>1567.5100000000002</v>
      </c>
    </row>
    <row r="78" spans="1:10" x14ac:dyDescent="0.2">
      <c r="A78" s="467" t="s">
        <v>739</v>
      </c>
      <c r="B78" s="467"/>
      <c r="C78" s="357">
        <v>2.0099999999999998</v>
      </c>
      <c r="D78" s="357">
        <v>3.38</v>
      </c>
      <c r="E78" s="357">
        <v>10</v>
      </c>
      <c r="F78" s="163">
        <v>2500</v>
      </c>
      <c r="G78" s="357">
        <v>23.28</v>
      </c>
      <c r="H78" s="357">
        <v>31.41</v>
      </c>
      <c r="I78" s="220">
        <v>1304.23</v>
      </c>
      <c r="J78" s="357">
        <v>1598.9200000000003</v>
      </c>
    </row>
    <row r="79" spans="1:10" x14ac:dyDescent="0.2">
      <c r="A79" s="467" t="s">
        <v>740</v>
      </c>
      <c r="B79" s="467"/>
      <c r="C79" s="357">
        <v>1.5</v>
      </c>
      <c r="D79" s="357">
        <v>3.57</v>
      </c>
      <c r="E79" s="357">
        <v>10</v>
      </c>
      <c r="F79" s="163">
        <v>2500</v>
      </c>
      <c r="G79" s="357">
        <v>17.54</v>
      </c>
      <c r="H79" s="357">
        <v>34.79</v>
      </c>
      <c r="I79" s="220">
        <v>1321.77</v>
      </c>
      <c r="J79" s="357">
        <v>1633.7100000000003</v>
      </c>
    </row>
    <row r="80" spans="1:10" x14ac:dyDescent="0.2">
      <c r="A80" s="467" t="s">
        <v>741</v>
      </c>
      <c r="B80" s="467"/>
      <c r="C80" s="357">
        <v>1.27</v>
      </c>
      <c r="D80" s="357">
        <v>3.21</v>
      </c>
      <c r="E80" s="357">
        <v>10</v>
      </c>
      <c r="F80" s="163">
        <v>2500</v>
      </c>
      <c r="G80" s="357">
        <v>13.82</v>
      </c>
      <c r="H80" s="357">
        <v>33.92</v>
      </c>
      <c r="I80" s="220">
        <v>1335.59</v>
      </c>
      <c r="J80" s="357">
        <v>1667.6300000000003</v>
      </c>
    </row>
    <row r="81" spans="1:10" x14ac:dyDescent="0.2">
      <c r="A81" s="467" t="s">
        <v>742</v>
      </c>
      <c r="B81" s="467"/>
      <c r="C81" s="357">
        <v>1.53</v>
      </c>
      <c r="D81" s="357">
        <v>3.1</v>
      </c>
      <c r="E81" s="357">
        <v>10</v>
      </c>
      <c r="F81" s="163">
        <v>2500</v>
      </c>
      <c r="G81" s="357">
        <v>13.97</v>
      </c>
      <c r="H81" s="357">
        <v>31.56</v>
      </c>
      <c r="I81" s="220">
        <v>1349.56</v>
      </c>
      <c r="J81" s="357">
        <v>1699.1900000000003</v>
      </c>
    </row>
    <row r="82" spans="1:10" x14ac:dyDescent="0.2">
      <c r="A82" s="467" t="s">
        <v>743</v>
      </c>
      <c r="B82" s="467"/>
      <c r="C82" s="357">
        <v>1.37</v>
      </c>
      <c r="D82" s="357">
        <v>2.95</v>
      </c>
      <c r="E82" s="357">
        <v>10</v>
      </c>
      <c r="F82" s="163">
        <v>2500</v>
      </c>
      <c r="G82" s="357">
        <v>14.47</v>
      </c>
      <c r="H82" s="357">
        <v>30.28</v>
      </c>
      <c r="I82" s="220">
        <v>1364.03</v>
      </c>
      <c r="J82" s="357">
        <v>1729.4700000000003</v>
      </c>
    </row>
    <row r="83" spans="1:10" x14ac:dyDescent="0.2">
      <c r="A83" s="467" t="s">
        <v>744</v>
      </c>
      <c r="B83" s="467"/>
      <c r="C83" s="357">
        <v>0.68</v>
      </c>
      <c r="D83" s="357">
        <v>3.07</v>
      </c>
      <c r="E83" s="357">
        <v>10</v>
      </c>
      <c r="F83" s="163">
        <v>2500</v>
      </c>
      <c r="G83" s="357">
        <v>10.25</v>
      </c>
      <c r="H83" s="357">
        <v>30.13</v>
      </c>
      <c r="I83" s="220">
        <v>1374.28</v>
      </c>
      <c r="J83" s="357">
        <v>1759.6000000000004</v>
      </c>
    </row>
    <row r="84" spans="1:10" x14ac:dyDescent="0.2">
      <c r="A84" s="467" t="s">
        <v>745</v>
      </c>
      <c r="B84" s="467"/>
      <c r="C84" s="357">
        <v>0.22</v>
      </c>
      <c r="D84" s="357">
        <v>3.35</v>
      </c>
      <c r="E84" s="357">
        <v>10</v>
      </c>
      <c r="F84" s="163">
        <v>2500</v>
      </c>
      <c r="G84" s="357">
        <v>4.53</v>
      </c>
      <c r="H84" s="357">
        <v>32.119999999999997</v>
      </c>
      <c r="I84" s="220">
        <v>1378.81</v>
      </c>
      <c r="J84" s="357">
        <v>1791.7200000000003</v>
      </c>
    </row>
    <row r="85" spans="1:10" x14ac:dyDescent="0.2">
      <c r="A85" s="467" t="s">
        <v>746</v>
      </c>
      <c r="B85" s="467"/>
      <c r="C85" s="357">
        <v>0.03</v>
      </c>
      <c r="D85" s="357">
        <v>3.4</v>
      </c>
      <c r="E85" s="357">
        <v>10</v>
      </c>
      <c r="F85" s="163">
        <v>2500</v>
      </c>
      <c r="G85" s="357">
        <v>1.28</v>
      </c>
      <c r="H85" s="357">
        <v>33.76</v>
      </c>
      <c r="I85" s="220">
        <v>1380.09</v>
      </c>
      <c r="J85" s="357">
        <v>1825.4800000000002</v>
      </c>
    </row>
    <row r="86" spans="1:10" ht="14.25" customHeight="1" x14ac:dyDescent="0.2">
      <c r="A86" s="479"/>
      <c r="B86" s="479"/>
      <c r="C86" s="356"/>
      <c r="D86" s="356"/>
      <c r="E86" s="356"/>
      <c r="F86" s="356"/>
      <c r="G86" s="356"/>
      <c r="H86" s="170"/>
      <c r="I86" s="356"/>
      <c r="J86" s="356"/>
    </row>
    <row r="87" spans="1:10" x14ac:dyDescent="0.2">
      <c r="G87" s="176"/>
      <c r="H87" s="478" t="s">
        <v>747</v>
      </c>
      <c r="I87" s="478"/>
      <c r="J87" s="178">
        <f>SUM(H7:H86)</f>
        <v>1825.4800000000002</v>
      </c>
    </row>
    <row r="88" spans="1:10" ht="24" customHeight="1" x14ac:dyDescent="0.2">
      <c r="G88" s="475" t="s">
        <v>748</v>
      </c>
      <c r="H88" s="476"/>
      <c r="I88" s="477"/>
      <c r="J88" s="177">
        <f>SUM(G7:G86)</f>
        <v>11406.690000000002</v>
      </c>
    </row>
    <row r="91" spans="1:10" x14ac:dyDescent="0.2">
      <c r="A91" s="472" t="s">
        <v>749</v>
      </c>
      <c r="B91" s="472"/>
      <c r="C91" s="472"/>
      <c r="D91" s="472"/>
      <c r="E91" s="472"/>
      <c r="F91" s="472"/>
      <c r="G91" s="472"/>
      <c r="H91" s="472"/>
      <c r="I91" s="472"/>
      <c r="J91" s="472"/>
    </row>
    <row r="92" spans="1:10" x14ac:dyDescent="0.2">
      <c r="A92" s="472"/>
      <c r="B92" s="472"/>
      <c r="C92" s="472"/>
      <c r="D92" s="472"/>
      <c r="E92" s="472"/>
      <c r="F92" s="472"/>
      <c r="G92" s="472"/>
      <c r="H92" s="472"/>
      <c r="I92" s="472"/>
      <c r="J92" s="472"/>
    </row>
    <row r="93" spans="1:10" x14ac:dyDescent="0.2">
      <c r="A93" s="474" t="s">
        <v>13</v>
      </c>
      <c r="B93" s="474"/>
      <c r="C93" s="474"/>
      <c r="D93" s="474"/>
      <c r="E93" s="355" t="s">
        <v>750</v>
      </c>
      <c r="F93" s="355" t="s">
        <v>751</v>
      </c>
      <c r="G93" s="171"/>
      <c r="H93" s="171"/>
      <c r="I93" s="172"/>
      <c r="J93" s="171"/>
    </row>
    <row r="94" spans="1:10" x14ac:dyDescent="0.2">
      <c r="A94" s="471" t="s">
        <v>752</v>
      </c>
      <c r="B94" s="471"/>
      <c r="C94" s="471"/>
      <c r="D94" s="471"/>
      <c r="E94" s="174">
        <f>SUMIF($F$7:$F$85,50,$G$7:$G$86)</f>
        <v>7596.5</v>
      </c>
      <c r="F94" s="174"/>
    </row>
    <row r="95" spans="1:10" x14ac:dyDescent="0.2">
      <c r="A95" s="471" t="s">
        <v>753</v>
      </c>
      <c r="B95" s="471"/>
      <c r="C95" s="471"/>
      <c r="D95" s="471"/>
      <c r="E95" s="174">
        <f>SUMIF($F$7:$F$86,200,$G$7:$G$86)</f>
        <v>0</v>
      </c>
      <c r="F95" s="174"/>
    </row>
    <row r="96" spans="1:10" x14ac:dyDescent="0.2">
      <c r="A96" s="471" t="s">
        <v>754</v>
      </c>
      <c r="B96" s="471"/>
      <c r="C96" s="471"/>
      <c r="D96" s="471"/>
      <c r="E96" s="174">
        <f>SUMIF($F$7:$F$86,400,$G$7:$G$86)</f>
        <v>420.79999999999995</v>
      </c>
      <c r="F96" s="174"/>
    </row>
    <row r="97" spans="1:6" x14ac:dyDescent="0.2">
      <c r="A97" s="471" t="s">
        <v>755</v>
      </c>
      <c r="B97" s="471"/>
      <c r="C97" s="471"/>
      <c r="D97" s="471"/>
      <c r="E97" s="174">
        <f>SUMIF($F$7:$F$86,600,$G$7:$G$86)</f>
        <v>0</v>
      </c>
      <c r="F97" s="174"/>
    </row>
    <row r="98" spans="1:6" x14ac:dyDescent="0.2">
      <c r="A98" s="471" t="s">
        <v>756</v>
      </c>
      <c r="B98" s="471"/>
      <c r="C98" s="471"/>
      <c r="D98" s="471"/>
      <c r="E98" s="174">
        <f>SUMIF($F$7:$F$86,800,$G$7:$G$86)</f>
        <v>0</v>
      </c>
      <c r="F98" s="174"/>
    </row>
    <row r="99" spans="1:6" x14ac:dyDescent="0.2">
      <c r="A99" s="471" t="s">
        <v>757</v>
      </c>
      <c r="B99" s="471"/>
      <c r="C99" s="471"/>
      <c r="D99" s="471"/>
      <c r="E99" s="174">
        <f>SUMIF($F$7:$F$86,1000,$G$7:$G$86)</f>
        <v>0</v>
      </c>
      <c r="F99" s="174"/>
    </row>
    <row r="100" spans="1:6" x14ac:dyDescent="0.2">
      <c r="A100" s="471" t="s">
        <v>758</v>
      </c>
      <c r="B100" s="471"/>
      <c r="C100" s="471"/>
      <c r="D100" s="471"/>
      <c r="E100" s="174">
        <f>SUMIF($F$7:$F$86,1200,$G$7:$G$86)</f>
        <v>293.29999999999995</v>
      </c>
      <c r="F100" s="174"/>
    </row>
    <row r="101" spans="1:6" x14ac:dyDescent="0.2">
      <c r="A101" s="471" t="s">
        <v>759</v>
      </c>
      <c r="B101" s="471"/>
      <c r="C101" s="471"/>
      <c r="D101" s="471"/>
      <c r="E101" s="174">
        <f>SUMIF($F$7:$F$86,2500,$G$7:$G$86)</f>
        <v>3096.0899999999992</v>
      </c>
      <c r="F101" s="174"/>
    </row>
    <row r="102" spans="1:6" x14ac:dyDescent="0.2">
      <c r="A102" s="473" t="s">
        <v>32</v>
      </c>
      <c r="B102" s="473"/>
      <c r="C102" s="473"/>
      <c r="D102" s="473"/>
      <c r="E102" s="175">
        <f>SUM(E94:F101)</f>
        <v>11406.689999999999</v>
      </c>
      <c r="F102" s="175"/>
    </row>
    <row r="103" spans="1:6" x14ac:dyDescent="0.2">
      <c r="F103" s="173"/>
    </row>
    <row r="104" spans="1:6" x14ac:dyDescent="0.2">
      <c r="A104" s="469" t="s">
        <v>760</v>
      </c>
      <c r="B104" s="470"/>
      <c r="C104" s="470"/>
      <c r="D104" s="470"/>
      <c r="E104" s="78">
        <f>J87</f>
        <v>1825.4800000000002</v>
      </c>
      <c r="F104" s="78">
        <f>E104*1.15</f>
        <v>2099.3020000000001</v>
      </c>
    </row>
  </sheetData>
  <mergeCells count="112">
    <mergeCell ref="A104:D104"/>
    <mergeCell ref="A99:D99"/>
    <mergeCell ref="E5:E6"/>
    <mergeCell ref="A91:J92"/>
    <mergeCell ref="A94:D94"/>
    <mergeCell ref="A95:D95"/>
    <mergeCell ref="A96:D96"/>
    <mergeCell ref="A98:D98"/>
    <mergeCell ref="A100:D100"/>
    <mergeCell ref="A101:D101"/>
    <mergeCell ref="A102:D102"/>
    <mergeCell ref="A97:D97"/>
    <mergeCell ref="A93:D93"/>
    <mergeCell ref="G88:I88"/>
    <mergeCell ref="H87:I87"/>
    <mergeCell ref="A86:B86"/>
    <mergeCell ref="A80:B80"/>
    <mergeCell ref="A81:B81"/>
    <mergeCell ref="A82:B82"/>
    <mergeCell ref="A83:B83"/>
    <mergeCell ref="A84:B84"/>
    <mergeCell ref="A85:B85"/>
    <mergeCell ref="A74:B74"/>
    <mergeCell ref="A75:B75"/>
    <mergeCell ref="A76:B76"/>
    <mergeCell ref="A77:B77"/>
    <mergeCell ref="A78:B78"/>
    <mergeCell ref="A79:B79"/>
    <mergeCell ref="A68:B68"/>
    <mergeCell ref="A69:B69"/>
    <mergeCell ref="A70:B70"/>
    <mergeCell ref="A71:B71"/>
    <mergeCell ref="A72:B72"/>
    <mergeCell ref="A73:B73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8:B38"/>
    <mergeCell ref="A39:B39"/>
    <mergeCell ref="A40:B40"/>
    <mergeCell ref="A41:B41"/>
    <mergeCell ref="A42:B42"/>
    <mergeCell ref="A43:B43"/>
    <mergeCell ref="A32:B32"/>
    <mergeCell ref="A33:B33"/>
    <mergeCell ref="A34:B34"/>
    <mergeCell ref="A35:B35"/>
    <mergeCell ref="A36:B36"/>
    <mergeCell ref="A37:B37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7:B7"/>
    <mergeCell ref="A3:B3"/>
    <mergeCell ref="C3:F3"/>
    <mergeCell ref="G3:I3"/>
    <mergeCell ref="A4:B4"/>
    <mergeCell ref="C4:F4"/>
    <mergeCell ref="G4:I4"/>
    <mergeCell ref="A14:B14"/>
    <mergeCell ref="A15:B15"/>
    <mergeCell ref="A1:C1"/>
    <mergeCell ref="D1:H1"/>
    <mergeCell ref="I1:J1"/>
    <mergeCell ref="A2:B2"/>
    <mergeCell ref="C2:F2"/>
    <mergeCell ref="G2:I2"/>
    <mergeCell ref="A5:B6"/>
    <mergeCell ref="C5:D5"/>
    <mergeCell ref="F5:F6"/>
    <mergeCell ref="G5:H5"/>
    <mergeCell ref="I5:J5"/>
  </mergeCells>
  <pageMargins left="0.7" right="0.7" top="0.75" bottom="0.75" header="0.3" footer="0.3"/>
  <pageSetup paperSize="9" scale="6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77485-C7ED-4801-B3B2-93549D0EF753}">
  <dimension ref="A4:J98"/>
  <sheetViews>
    <sheetView view="pageBreakPreview" zoomScale="60" zoomScaleNormal="70" workbookViewId="0">
      <selection activeCell="A5" sqref="A5:I6"/>
    </sheetView>
  </sheetViews>
  <sheetFormatPr defaultRowHeight="15" x14ac:dyDescent="0.25"/>
  <cols>
    <col min="1" max="1" width="42" style="223" customWidth="1"/>
    <col min="2" max="2" width="43.33203125" style="223" customWidth="1"/>
    <col min="3" max="3" width="23.6640625" style="223" customWidth="1"/>
    <col min="4" max="4" width="17.33203125" style="223" customWidth="1"/>
    <col min="5" max="5" width="6.83203125" style="223" hidden="1" customWidth="1"/>
    <col min="6" max="6" width="7.5" style="223" hidden="1" customWidth="1"/>
    <col min="7" max="7" width="7.1640625" style="223" hidden="1" customWidth="1"/>
    <col min="8" max="8" width="7" style="223" hidden="1" customWidth="1"/>
    <col min="9" max="9" width="0.83203125" style="223" hidden="1" customWidth="1"/>
    <col min="10" max="10" width="26.5" style="231" customWidth="1"/>
    <col min="11" max="16384" width="9.33203125" style="223"/>
  </cols>
  <sheetData>
    <row r="4" spans="1:10" x14ac:dyDescent="0.25">
      <c r="A4" s="222"/>
      <c r="B4" s="222"/>
      <c r="C4" s="222"/>
      <c r="D4" s="222"/>
      <c r="E4" s="222"/>
      <c r="F4" s="222"/>
      <c r="G4" s="222"/>
      <c r="H4" s="222"/>
      <c r="I4" s="222"/>
      <c r="J4" s="222"/>
    </row>
    <row r="5" spans="1:10" x14ac:dyDescent="0.25">
      <c r="A5" s="481" t="s">
        <v>761</v>
      </c>
      <c r="B5" s="481" t="s">
        <v>762</v>
      </c>
      <c r="C5" s="483" t="s">
        <v>763</v>
      </c>
      <c r="D5" s="484" t="s">
        <v>764</v>
      </c>
      <c r="E5" s="485"/>
      <c r="F5" s="485"/>
      <c r="G5" s="485"/>
      <c r="H5" s="485"/>
      <c r="I5" s="485"/>
      <c r="J5" s="224"/>
    </row>
    <row r="6" spans="1:10" x14ac:dyDescent="0.25">
      <c r="A6" s="482"/>
      <c r="B6" s="482"/>
      <c r="C6" s="483"/>
      <c r="D6" s="359" t="s">
        <v>765</v>
      </c>
      <c r="E6" s="359">
        <v>1</v>
      </c>
      <c r="F6" s="359">
        <v>2</v>
      </c>
      <c r="G6" s="359">
        <v>3</v>
      </c>
      <c r="H6" s="359">
        <v>4</v>
      </c>
      <c r="I6" s="359">
        <v>5</v>
      </c>
      <c r="J6" s="359" t="s">
        <v>766</v>
      </c>
    </row>
    <row r="7" spans="1:10" ht="18.75" x14ac:dyDescent="0.3">
      <c r="A7" s="225" t="s">
        <v>767</v>
      </c>
      <c r="B7" s="226" t="s">
        <v>768</v>
      </c>
      <c r="C7" s="227">
        <v>540723</v>
      </c>
      <c r="D7" s="228">
        <v>45610</v>
      </c>
      <c r="E7" s="229"/>
      <c r="F7" s="229"/>
      <c r="G7" s="229"/>
      <c r="H7" s="229"/>
      <c r="I7" s="229"/>
      <c r="J7" s="230">
        <v>27.26</v>
      </c>
    </row>
    <row r="8" spans="1:10" ht="18.75" x14ac:dyDescent="0.3">
      <c r="A8" s="225" t="s">
        <v>767</v>
      </c>
      <c r="B8" s="226" t="s">
        <v>769</v>
      </c>
      <c r="C8" s="227">
        <v>540717</v>
      </c>
      <c r="D8" s="228">
        <v>45610</v>
      </c>
      <c r="E8" s="229"/>
      <c r="F8" s="229"/>
      <c r="G8" s="229"/>
      <c r="H8" s="229"/>
      <c r="I8" s="229"/>
      <c r="J8" s="230">
        <v>21.92</v>
      </c>
    </row>
    <row r="9" spans="1:10" ht="18.75" x14ac:dyDescent="0.3">
      <c r="A9" s="225" t="s">
        <v>767</v>
      </c>
      <c r="B9" s="226" t="s">
        <v>770</v>
      </c>
      <c r="C9" s="227">
        <v>540719</v>
      </c>
      <c r="D9" s="228">
        <v>45610</v>
      </c>
      <c r="E9" s="229"/>
      <c r="F9" s="229"/>
      <c r="G9" s="229"/>
      <c r="H9" s="229"/>
      <c r="I9" s="229"/>
      <c r="J9" s="230">
        <v>22.82</v>
      </c>
    </row>
    <row r="10" spans="1:10" ht="18.75" x14ac:dyDescent="0.3">
      <c r="A10" s="225" t="s">
        <v>767</v>
      </c>
      <c r="B10" s="226" t="s">
        <v>771</v>
      </c>
      <c r="C10" s="227">
        <v>540721</v>
      </c>
      <c r="D10" s="228">
        <v>45610</v>
      </c>
      <c r="E10" s="229"/>
      <c r="F10" s="229"/>
      <c r="G10" s="229"/>
      <c r="H10" s="229"/>
      <c r="I10" s="229"/>
      <c r="J10" s="230">
        <v>23</v>
      </c>
    </row>
    <row r="11" spans="1:10" ht="18.75" x14ac:dyDescent="0.3">
      <c r="A11" s="225" t="s">
        <v>767</v>
      </c>
      <c r="B11" s="226" t="s">
        <v>772</v>
      </c>
      <c r="C11" s="227">
        <v>540724</v>
      </c>
      <c r="D11" s="228">
        <v>45610</v>
      </c>
      <c r="E11" s="229"/>
      <c r="F11" s="229"/>
      <c r="G11" s="229"/>
      <c r="H11" s="229"/>
      <c r="I11" s="229"/>
      <c r="J11" s="230">
        <v>21.9</v>
      </c>
    </row>
    <row r="12" spans="1:10" ht="18.75" x14ac:dyDescent="0.3">
      <c r="A12" s="225" t="s">
        <v>767</v>
      </c>
      <c r="B12" s="226" t="s">
        <v>773</v>
      </c>
      <c r="C12" s="227">
        <v>540726</v>
      </c>
      <c r="D12" s="228">
        <v>45610</v>
      </c>
      <c r="E12" s="229"/>
      <c r="F12" s="229"/>
      <c r="G12" s="229"/>
      <c r="H12" s="229"/>
      <c r="I12" s="229"/>
      <c r="J12" s="230">
        <v>28.52</v>
      </c>
    </row>
    <row r="13" spans="1:10" ht="18.75" x14ac:dyDescent="0.3">
      <c r="A13" s="225" t="s">
        <v>767</v>
      </c>
      <c r="B13" s="226" t="s">
        <v>774</v>
      </c>
      <c r="C13" s="227">
        <v>540725</v>
      </c>
      <c r="D13" s="228">
        <v>45610</v>
      </c>
      <c r="E13" s="229"/>
      <c r="F13" s="229"/>
      <c r="G13" s="229"/>
      <c r="H13" s="229"/>
      <c r="I13" s="229"/>
      <c r="J13" s="230">
        <v>26.62</v>
      </c>
    </row>
    <row r="14" spans="1:10" ht="18.75" x14ac:dyDescent="0.3">
      <c r="A14" s="225" t="s">
        <v>767</v>
      </c>
      <c r="B14" s="226" t="s">
        <v>775</v>
      </c>
      <c r="C14" s="227">
        <v>540718</v>
      </c>
      <c r="D14" s="228">
        <v>45610</v>
      </c>
      <c r="E14" s="229"/>
      <c r="F14" s="229"/>
      <c r="G14" s="229"/>
      <c r="H14" s="229"/>
      <c r="I14" s="229"/>
      <c r="J14" s="230">
        <v>25.98</v>
      </c>
    </row>
    <row r="15" spans="1:10" ht="18.75" x14ac:dyDescent="0.3">
      <c r="A15" s="225" t="s">
        <v>767</v>
      </c>
      <c r="B15" s="226" t="s">
        <v>776</v>
      </c>
      <c r="C15" s="227">
        <v>540716</v>
      </c>
      <c r="D15" s="228">
        <v>45610</v>
      </c>
      <c r="E15" s="229"/>
      <c r="F15" s="229"/>
      <c r="G15" s="229"/>
      <c r="H15" s="229"/>
      <c r="I15" s="229"/>
      <c r="J15" s="230">
        <v>23</v>
      </c>
    </row>
    <row r="16" spans="1:10" ht="18.75" x14ac:dyDescent="0.3">
      <c r="A16" s="225" t="s">
        <v>767</v>
      </c>
      <c r="B16" s="226" t="s">
        <v>777</v>
      </c>
      <c r="C16" s="227">
        <v>540714</v>
      </c>
      <c r="D16" s="228">
        <v>45610</v>
      </c>
      <c r="E16" s="229"/>
      <c r="F16" s="229"/>
      <c r="G16" s="229"/>
      <c r="H16" s="229"/>
      <c r="I16" s="229"/>
      <c r="J16" s="230">
        <v>24.58</v>
      </c>
    </row>
    <row r="17" spans="1:10" ht="18.75" x14ac:dyDescent="0.3">
      <c r="A17" s="225" t="s">
        <v>767</v>
      </c>
      <c r="B17" s="226" t="s">
        <v>778</v>
      </c>
      <c r="C17" s="227">
        <v>540715</v>
      </c>
      <c r="D17" s="228">
        <v>45610</v>
      </c>
      <c r="E17" s="229"/>
      <c r="F17" s="229"/>
      <c r="G17" s="229"/>
      <c r="H17" s="229"/>
      <c r="I17" s="229"/>
      <c r="J17" s="230">
        <v>24.26</v>
      </c>
    </row>
    <row r="18" spans="1:10" ht="18.75" x14ac:dyDescent="0.3">
      <c r="A18" s="225" t="s">
        <v>767</v>
      </c>
      <c r="B18" s="226" t="s">
        <v>779</v>
      </c>
      <c r="C18" s="227">
        <v>540713</v>
      </c>
      <c r="D18" s="228">
        <v>45610</v>
      </c>
      <c r="E18" s="229"/>
      <c r="F18" s="229"/>
      <c r="G18" s="229"/>
      <c r="H18" s="229"/>
      <c r="I18" s="229"/>
      <c r="J18" s="230">
        <v>24</v>
      </c>
    </row>
    <row r="19" spans="1:10" ht="18.75" x14ac:dyDescent="0.3">
      <c r="A19" s="225" t="s">
        <v>767</v>
      </c>
      <c r="B19" s="226" t="s">
        <v>773</v>
      </c>
      <c r="C19" s="227">
        <v>540748</v>
      </c>
      <c r="D19" s="228">
        <v>45614</v>
      </c>
      <c r="E19" s="229"/>
      <c r="F19" s="229"/>
      <c r="G19" s="229"/>
      <c r="H19" s="229"/>
      <c r="I19" s="229"/>
      <c r="J19" s="230">
        <v>27.98</v>
      </c>
    </row>
    <row r="20" spans="1:10" ht="18.75" x14ac:dyDescent="0.3">
      <c r="A20" s="225" t="s">
        <v>767</v>
      </c>
      <c r="B20" s="226" t="s">
        <v>780</v>
      </c>
      <c r="C20" s="227">
        <v>540746</v>
      </c>
      <c r="D20" s="228">
        <v>45614</v>
      </c>
      <c r="E20" s="229"/>
      <c r="F20" s="229"/>
      <c r="G20" s="229"/>
      <c r="H20" s="229"/>
      <c r="I20" s="229"/>
      <c r="J20" s="230">
        <v>24.44</v>
      </c>
    </row>
    <row r="21" spans="1:10" ht="18.75" x14ac:dyDescent="0.3">
      <c r="A21" s="225" t="s">
        <v>767</v>
      </c>
      <c r="B21" s="226" t="s">
        <v>768</v>
      </c>
      <c r="C21" s="227">
        <v>540727</v>
      </c>
      <c r="D21" s="228">
        <v>45614</v>
      </c>
      <c r="E21" s="229"/>
      <c r="F21" s="229"/>
      <c r="G21" s="229"/>
      <c r="H21" s="229"/>
      <c r="I21" s="229"/>
      <c r="J21" s="230">
        <v>27.46</v>
      </c>
    </row>
    <row r="22" spans="1:10" ht="18.75" x14ac:dyDescent="0.3">
      <c r="A22" s="225" t="s">
        <v>767</v>
      </c>
      <c r="B22" s="226" t="s">
        <v>780</v>
      </c>
      <c r="C22" s="227">
        <v>540728</v>
      </c>
      <c r="D22" s="228">
        <v>45614</v>
      </c>
      <c r="E22" s="229"/>
      <c r="F22" s="229"/>
      <c r="G22" s="229"/>
      <c r="H22" s="229"/>
      <c r="I22" s="229"/>
      <c r="J22" s="230">
        <v>26.96</v>
      </c>
    </row>
    <row r="23" spans="1:10" ht="18.75" x14ac:dyDescent="0.3">
      <c r="A23" s="225" t="s">
        <v>767</v>
      </c>
      <c r="B23" s="226" t="s">
        <v>781</v>
      </c>
      <c r="C23" s="227">
        <v>540720</v>
      </c>
      <c r="D23" s="228">
        <v>45614</v>
      </c>
      <c r="E23" s="229"/>
      <c r="F23" s="229"/>
      <c r="G23" s="229"/>
      <c r="H23" s="229"/>
      <c r="I23" s="229"/>
      <c r="J23" s="230">
        <v>21.44</v>
      </c>
    </row>
    <row r="24" spans="1:10" ht="18.75" x14ac:dyDescent="0.3">
      <c r="A24" s="225" t="s">
        <v>767</v>
      </c>
      <c r="B24" s="226" t="s">
        <v>781</v>
      </c>
      <c r="C24" s="227">
        <v>540743</v>
      </c>
      <c r="D24" s="228">
        <v>45614</v>
      </c>
      <c r="E24" s="229"/>
      <c r="F24" s="229"/>
      <c r="G24" s="229"/>
      <c r="H24" s="229"/>
      <c r="I24" s="229"/>
      <c r="J24" s="230">
        <v>21.82</v>
      </c>
    </row>
    <row r="25" spans="1:10" ht="18.75" x14ac:dyDescent="0.3">
      <c r="A25" s="225" t="s">
        <v>767</v>
      </c>
      <c r="B25" s="226" t="s">
        <v>782</v>
      </c>
      <c r="C25" s="227">
        <v>540744</v>
      </c>
      <c r="D25" s="228">
        <v>45614</v>
      </c>
      <c r="E25" s="229"/>
      <c r="F25" s="229"/>
      <c r="G25" s="229"/>
      <c r="H25" s="229"/>
      <c r="I25" s="229"/>
      <c r="J25" s="230">
        <v>24.02</v>
      </c>
    </row>
    <row r="26" spans="1:10" ht="18.75" x14ac:dyDescent="0.3">
      <c r="A26" s="225" t="s">
        <v>767</v>
      </c>
      <c r="B26" s="226" t="s">
        <v>773</v>
      </c>
      <c r="C26" s="227">
        <v>540729</v>
      </c>
      <c r="D26" s="228">
        <v>45614</v>
      </c>
      <c r="E26" s="229"/>
      <c r="F26" s="229"/>
      <c r="G26" s="229"/>
      <c r="H26" s="229"/>
      <c r="I26" s="229"/>
      <c r="J26" s="230">
        <v>28.42</v>
      </c>
    </row>
    <row r="27" spans="1:10" ht="18.75" x14ac:dyDescent="0.3">
      <c r="A27" s="225" t="s">
        <v>767</v>
      </c>
      <c r="B27" s="226" t="s">
        <v>768</v>
      </c>
      <c r="C27" s="227">
        <v>540747</v>
      </c>
      <c r="D27" s="228">
        <v>45614</v>
      </c>
      <c r="E27" s="229"/>
      <c r="F27" s="229"/>
      <c r="G27" s="229"/>
      <c r="H27" s="229"/>
      <c r="I27" s="229"/>
      <c r="J27" s="230">
        <v>26.5</v>
      </c>
    </row>
    <row r="28" spans="1:10" ht="18.75" x14ac:dyDescent="0.3">
      <c r="A28" s="225" t="s">
        <v>767</v>
      </c>
      <c r="B28" s="226" t="s">
        <v>779</v>
      </c>
      <c r="C28" s="227">
        <v>540822</v>
      </c>
      <c r="D28" s="228">
        <v>45615</v>
      </c>
      <c r="E28" s="229"/>
      <c r="F28" s="229"/>
      <c r="G28" s="229"/>
      <c r="H28" s="229"/>
      <c r="I28" s="229"/>
      <c r="J28" s="230">
        <v>21.06</v>
      </c>
    </row>
    <row r="29" spans="1:10" ht="18.75" x14ac:dyDescent="0.3">
      <c r="A29" s="225" t="s">
        <v>767</v>
      </c>
      <c r="B29" s="226" t="s">
        <v>783</v>
      </c>
      <c r="C29" s="227">
        <v>540819</v>
      </c>
      <c r="D29" s="228">
        <v>45615</v>
      </c>
      <c r="E29" s="229"/>
      <c r="F29" s="229"/>
      <c r="G29" s="229"/>
      <c r="H29" s="229"/>
      <c r="I29" s="229"/>
      <c r="J29" s="230">
        <v>20.98</v>
      </c>
    </row>
    <row r="30" spans="1:10" ht="18.75" x14ac:dyDescent="0.3">
      <c r="A30" s="225" t="s">
        <v>767</v>
      </c>
      <c r="B30" s="226" t="s">
        <v>770</v>
      </c>
      <c r="C30" s="227">
        <v>540816</v>
      </c>
      <c r="D30" s="228">
        <v>45615</v>
      </c>
      <c r="E30" s="229"/>
      <c r="F30" s="229"/>
      <c r="G30" s="229"/>
      <c r="H30" s="229"/>
      <c r="I30" s="229"/>
      <c r="J30" s="230">
        <v>21.36</v>
      </c>
    </row>
    <row r="31" spans="1:10" ht="18.75" x14ac:dyDescent="0.3">
      <c r="A31" s="225" t="s">
        <v>767</v>
      </c>
      <c r="B31" s="226" t="s">
        <v>784</v>
      </c>
      <c r="C31" s="227">
        <v>540801</v>
      </c>
      <c r="D31" s="228">
        <v>45615</v>
      </c>
      <c r="E31" s="229"/>
      <c r="F31" s="229"/>
      <c r="G31" s="229"/>
      <c r="H31" s="229"/>
      <c r="I31" s="229"/>
      <c r="J31" s="230">
        <v>22.84</v>
      </c>
    </row>
    <row r="32" spans="1:10" ht="18.75" x14ac:dyDescent="0.3">
      <c r="A32" s="225" t="s">
        <v>767</v>
      </c>
      <c r="B32" s="226" t="s">
        <v>775</v>
      </c>
      <c r="C32" s="227">
        <v>540804</v>
      </c>
      <c r="D32" s="228">
        <v>45615</v>
      </c>
      <c r="E32" s="229"/>
      <c r="F32" s="229"/>
      <c r="G32" s="229"/>
      <c r="H32" s="229"/>
      <c r="I32" s="229"/>
      <c r="J32" s="230">
        <v>25.68</v>
      </c>
    </row>
    <row r="33" spans="1:10" ht="18.75" x14ac:dyDescent="0.3">
      <c r="A33" s="225" t="s">
        <v>767</v>
      </c>
      <c r="B33" s="226" t="s">
        <v>776</v>
      </c>
      <c r="C33" s="227">
        <v>540750</v>
      </c>
      <c r="D33" s="228">
        <v>45615</v>
      </c>
      <c r="E33" s="229"/>
      <c r="F33" s="229"/>
      <c r="G33" s="229"/>
      <c r="H33" s="229"/>
      <c r="I33" s="229"/>
      <c r="J33" s="230">
        <v>22.78</v>
      </c>
    </row>
    <row r="34" spans="1:10" ht="18.75" x14ac:dyDescent="0.3">
      <c r="A34" s="225" t="s">
        <v>767</v>
      </c>
      <c r="B34" s="226" t="s">
        <v>785</v>
      </c>
      <c r="C34" s="227">
        <v>540803</v>
      </c>
      <c r="D34" s="228">
        <v>45615</v>
      </c>
      <c r="E34" s="229"/>
      <c r="F34" s="229"/>
      <c r="G34" s="229"/>
      <c r="H34" s="229"/>
      <c r="I34" s="229"/>
      <c r="J34" s="230">
        <v>22.76</v>
      </c>
    </row>
    <row r="35" spans="1:10" ht="18.75" x14ac:dyDescent="0.3">
      <c r="A35" s="225" t="s">
        <v>767</v>
      </c>
      <c r="B35" s="226" t="s">
        <v>769</v>
      </c>
      <c r="C35" s="227">
        <v>540749</v>
      </c>
      <c r="D35" s="228">
        <v>45615</v>
      </c>
      <c r="E35" s="229"/>
      <c r="F35" s="229"/>
      <c r="G35" s="229"/>
      <c r="H35" s="229"/>
      <c r="I35" s="229"/>
      <c r="J35" s="230">
        <v>21.36</v>
      </c>
    </row>
    <row r="36" spans="1:10" ht="18.75" x14ac:dyDescent="0.3">
      <c r="A36" s="225" t="s">
        <v>767</v>
      </c>
      <c r="B36" s="226" t="s">
        <v>786</v>
      </c>
      <c r="C36" s="227">
        <v>540808</v>
      </c>
      <c r="D36" s="228">
        <v>45615</v>
      </c>
      <c r="E36" s="229"/>
      <c r="F36" s="229"/>
      <c r="G36" s="229"/>
      <c r="H36" s="229"/>
      <c r="I36" s="229"/>
      <c r="J36" s="230">
        <v>25.8</v>
      </c>
    </row>
    <row r="37" spans="1:10" ht="18.75" x14ac:dyDescent="0.3">
      <c r="A37" s="225" t="s">
        <v>767</v>
      </c>
      <c r="B37" s="226" t="s">
        <v>787</v>
      </c>
      <c r="C37" s="227">
        <v>540807</v>
      </c>
      <c r="D37" s="228">
        <v>45615</v>
      </c>
      <c r="E37" s="229"/>
      <c r="F37" s="229"/>
      <c r="G37" s="229"/>
      <c r="H37" s="229"/>
      <c r="I37" s="229"/>
      <c r="J37" s="230">
        <v>25.44</v>
      </c>
    </row>
    <row r="38" spans="1:10" ht="18.75" x14ac:dyDescent="0.3">
      <c r="A38" s="225" t="s">
        <v>767</v>
      </c>
      <c r="B38" s="226" t="s">
        <v>788</v>
      </c>
      <c r="C38" s="227">
        <v>540811</v>
      </c>
      <c r="D38" s="228">
        <v>45615</v>
      </c>
      <c r="E38" s="229"/>
      <c r="F38" s="229"/>
      <c r="G38" s="229"/>
      <c r="H38" s="229"/>
      <c r="I38" s="229"/>
      <c r="J38" s="230">
        <v>26.52</v>
      </c>
    </row>
    <row r="39" spans="1:10" ht="18.75" x14ac:dyDescent="0.3">
      <c r="A39" s="225" t="s">
        <v>767</v>
      </c>
      <c r="B39" s="226" t="s">
        <v>768</v>
      </c>
      <c r="C39" s="227">
        <v>540805</v>
      </c>
      <c r="D39" s="228">
        <v>45615</v>
      </c>
      <c r="E39" s="229"/>
      <c r="F39" s="229"/>
      <c r="G39" s="229"/>
      <c r="H39" s="229"/>
      <c r="I39" s="229"/>
      <c r="J39" s="230">
        <v>27.68</v>
      </c>
    </row>
    <row r="40" spans="1:10" ht="18.75" x14ac:dyDescent="0.3">
      <c r="A40" s="225" t="s">
        <v>767</v>
      </c>
      <c r="B40" s="226" t="s">
        <v>780</v>
      </c>
      <c r="C40" s="227">
        <v>540806</v>
      </c>
      <c r="D40" s="228">
        <v>45615</v>
      </c>
      <c r="E40" s="229"/>
      <c r="F40" s="229"/>
      <c r="G40" s="229"/>
      <c r="H40" s="229"/>
      <c r="I40" s="229"/>
      <c r="J40" s="230">
        <v>25.84</v>
      </c>
    </row>
    <row r="41" spans="1:10" ht="18.75" x14ac:dyDescent="0.3">
      <c r="A41" s="225" t="s">
        <v>767</v>
      </c>
      <c r="B41" s="226" t="s">
        <v>773</v>
      </c>
      <c r="C41" s="227">
        <v>540810</v>
      </c>
      <c r="D41" s="228">
        <v>45615</v>
      </c>
      <c r="E41" s="229"/>
      <c r="F41" s="229"/>
      <c r="G41" s="229"/>
      <c r="H41" s="229"/>
      <c r="I41" s="229"/>
      <c r="J41" s="230">
        <v>27</v>
      </c>
    </row>
    <row r="42" spans="1:10" ht="18.75" x14ac:dyDescent="0.3">
      <c r="A42" s="225" t="s">
        <v>767</v>
      </c>
      <c r="B42" s="226" t="s">
        <v>771</v>
      </c>
      <c r="C42" s="227">
        <v>540812</v>
      </c>
      <c r="D42" s="228">
        <v>45615</v>
      </c>
      <c r="E42" s="229"/>
      <c r="F42" s="229"/>
      <c r="G42" s="229"/>
      <c r="H42" s="229"/>
      <c r="I42" s="229"/>
      <c r="J42" s="230">
        <v>25.5</v>
      </c>
    </row>
    <row r="43" spans="1:10" ht="18.75" x14ac:dyDescent="0.3">
      <c r="A43" s="225" t="s">
        <v>767</v>
      </c>
      <c r="B43" s="226" t="s">
        <v>772</v>
      </c>
      <c r="C43" s="227">
        <v>540817</v>
      </c>
      <c r="D43" s="228">
        <v>45615</v>
      </c>
      <c r="E43" s="229"/>
      <c r="F43" s="229"/>
      <c r="G43" s="229"/>
      <c r="H43" s="229"/>
      <c r="I43" s="229"/>
      <c r="J43" s="230">
        <v>22.7</v>
      </c>
    </row>
    <row r="44" spans="1:10" ht="18.75" x14ac:dyDescent="0.3">
      <c r="A44" s="225" t="s">
        <v>767</v>
      </c>
      <c r="B44" s="226" t="s">
        <v>774</v>
      </c>
      <c r="C44" s="227">
        <v>540818</v>
      </c>
      <c r="D44" s="228">
        <v>45615</v>
      </c>
      <c r="E44" s="229"/>
      <c r="F44" s="229"/>
      <c r="G44" s="229"/>
      <c r="H44" s="229"/>
      <c r="I44" s="229"/>
      <c r="J44" s="230">
        <v>25.5</v>
      </c>
    </row>
    <row r="45" spans="1:10" ht="18.75" x14ac:dyDescent="0.3">
      <c r="A45" s="225" t="s">
        <v>767</v>
      </c>
      <c r="B45" s="226" t="s">
        <v>779</v>
      </c>
      <c r="C45" s="227">
        <v>540809</v>
      </c>
      <c r="D45" s="228">
        <v>45615</v>
      </c>
      <c r="E45" s="229"/>
      <c r="F45" s="229"/>
      <c r="G45" s="229"/>
      <c r="H45" s="229"/>
      <c r="I45" s="229"/>
      <c r="J45" s="230">
        <v>23.56</v>
      </c>
    </row>
    <row r="46" spans="1:10" ht="18.75" x14ac:dyDescent="0.3">
      <c r="A46" s="225" t="s">
        <v>767</v>
      </c>
      <c r="B46" s="226" t="s">
        <v>789</v>
      </c>
      <c r="C46" s="227">
        <v>540802</v>
      </c>
      <c r="D46" s="228">
        <v>45615</v>
      </c>
      <c r="E46" s="229"/>
      <c r="F46" s="229"/>
      <c r="G46" s="229"/>
      <c r="H46" s="229"/>
      <c r="I46" s="229"/>
      <c r="J46" s="230">
        <v>22.4</v>
      </c>
    </row>
    <row r="47" spans="1:10" ht="18.75" x14ac:dyDescent="0.3">
      <c r="A47" s="225" t="s">
        <v>767</v>
      </c>
      <c r="B47" s="226" t="s">
        <v>781</v>
      </c>
      <c r="C47" s="227">
        <v>540821</v>
      </c>
      <c r="D47" s="228">
        <v>45615</v>
      </c>
      <c r="E47" s="229"/>
      <c r="F47" s="229"/>
      <c r="G47" s="229"/>
      <c r="H47" s="229"/>
      <c r="I47" s="229"/>
      <c r="J47" s="230">
        <v>21.34</v>
      </c>
    </row>
    <row r="48" spans="1:10" ht="18.75" x14ac:dyDescent="0.3">
      <c r="A48" s="225" t="s">
        <v>767</v>
      </c>
      <c r="B48" s="226" t="s">
        <v>787</v>
      </c>
      <c r="C48" s="227">
        <v>540826</v>
      </c>
      <c r="D48" s="228">
        <v>45616</v>
      </c>
      <c r="E48" s="229"/>
      <c r="F48" s="229"/>
      <c r="G48" s="229"/>
      <c r="H48" s="229"/>
      <c r="I48" s="229"/>
      <c r="J48" s="230">
        <v>23.1</v>
      </c>
    </row>
    <row r="49" spans="1:10" ht="18.75" x14ac:dyDescent="0.3">
      <c r="A49" s="225" t="s">
        <v>767</v>
      </c>
      <c r="B49" s="226" t="s">
        <v>773</v>
      </c>
      <c r="C49" s="227">
        <v>540829</v>
      </c>
      <c r="D49" s="228">
        <v>45616</v>
      </c>
      <c r="E49" s="229"/>
      <c r="F49" s="229"/>
      <c r="G49" s="229"/>
      <c r="H49" s="229"/>
      <c r="I49" s="229"/>
      <c r="J49" s="230">
        <v>25.68</v>
      </c>
    </row>
    <row r="50" spans="1:10" ht="18.75" x14ac:dyDescent="0.3">
      <c r="A50" s="225" t="s">
        <v>767</v>
      </c>
      <c r="B50" s="226" t="s">
        <v>768</v>
      </c>
      <c r="C50" s="227">
        <v>540827</v>
      </c>
      <c r="D50" s="228">
        <v>45616</v>
      </c>
      <c r="E50" s="229"/>
      <c r="F50" s="229"/>
      <c r="G50" s="229"/>
      <c r="H50" s="229"/>
      <c r="I50" s="229"/>
      <c r="J50" s="230">
        <v>25.88</v>
      </c>
    </row>
    <row r="51" spans="1:10" ht="18.75" x14ac:dyDescent="0.3">
      <c r="A51" s="225" t="s">
        <v>767</v>
      </c>
      <c r="B51" s="226" t="s">
        <v>780</v>
      </c>
      <c r="C51" s="227">
        <v>540828</v>
      </c>
      <c r="D51" s="228">
        <v>45616</v>
      </c>
      <c r="E51" s="229"/>
      <c r="F51" s="229"/>
      <c r="G51" s="229"/>
      <c r="H51" s="229"/>
      <c r="I51" s="229"/>
      <c r="J51" s="230">
        <v>24.76</v>
      </c>
    </row>
    <row r="52" spans="1:10" ht="18.75" x14ac:dyDescent="0.3">
      <c r="A52" s="225" t="s">
        <v>767</v>
      </c>
      <c r="B52" s="226" t="s">
        <v>768</v>
      </c>
      <c r="C52" s="227">
        <v>540841</v>
      </c>
      <c r="D52" s="228">
        <v>45617</v>
      </c>
      <c r="E52" s="229"/>
      <c r="F52" s="229"/>
      <c r="G52" s="229"/>
      <c r="H52" s="229"/>
      <c r="I52" s="229"/>
      <c r="J52" s="230">
        <v>25.84</v>
      </c>
    </row>
    <row r="53" spans="1:10" ht="18.75" x14ac:dyDescent="0.3">
      <c r="A53" s="225" t="s">
        <v>767</v>
      </c>
      <c r="B53" s="226" t="s">
        <v>773</v>
      </c>
      <c r="C53" s="227">
        <v>540842</v>
      </c>
      <c r="D53" s="228">
        <v>45617</v>
      </c>
      <c r="E53" s="229"/>
      <c r="F53" s="229"/>
      <c r="G53" s="229"/>
      <c r="H53" s="229"/>
      <c r="I53" s="229"/>
      <c r="J53" s="230">
        <v>25.26</v>
      </c>
    </row>
    <row r="54" spans="1:10" ht="18.75" x14ac:dyDescent="0.3">
      <c r="A54" s="225" t="s">
        <v>767</v>
      </c>
      <c r="B54" s="226" t="s">
        <v>780</v>
      </c>
      <c r="C54" s="227">
        <v>540840</v>
      </c>
      <c r="D54" s="228">
        <v>45617</v>
      </c>
      <c r="E54" s="229"/>
      <c r="F54" s="229"/>
      <c r="G54" s="229"/>
      <c r="H54" s="229"/>
      <c r="I54" s="229"/>
      <c r="J54" s="230">
        <v>25.88</v>
      </c>
    </row>
    <row r="55" spans="1:10" ht="18.75" x14ac:dyDescent="0.3">
      <c r="A55" s="225" t="s">
        <v>767</v>
      </c>
      <c r="B55" s="226" t="s">
        <v>790</v>
      </c>
      <c r="C55" s="227">
        <v>540854</v>
      </c>
      <c r="D55" s="228">
        <v>45618</v>
      </c>
      <c r="E55" s="229"/>
      <c r="F55" s="229"/>
      <c r="G55" s="229"/>
      <c r="H55" s="229"/>
      <c r="I55" s="229"/>
      <c r="J55" s="230">
        <v>23.88</v>
      </c>
    </row>
    <row r="56" spans="1:10" ht="18.75" x14ac:dyDescent="0.3">
      <c r="A56" s="225" t="s">
        <v>767</v>
      </c>
      <c r="B56" s="226" t="s">
        <v>768</v>
      </c>
      <c r="C56" s="227">
        <v>540850</v>
      </c>
      <c r="D56" s="228">
        <v>45618</v>
      </c>
      <c r="E56" s="229"/>
      <c r="F56" s="229"/>
      <c r="G56" s="229"/>
      <c r="H56" s="229"/>
      <c r="I56" s="229"/>
      <c r="J56" s="230">
        <v>26</v>
      </c>
    </row>
    <row r="57" spans="1:10" ht="18.75" x14ac:dyDescent="0.3">
      <c r="A57" s="225" t="s">
        <v>767</v>
      </c>
      <c r="B57" s="226" t="s">
        <v>773</v>
      </c>
      <c r="C57" s="227">
        <v>540851</v>
      </c>
      <c r="D57" s="228">
        <v>45618</v>
      </c>
      <c r="E57" s="229"/>
      <c r="F57" s="229"/>
      <c r="G57" s="229"/>
      <c r="H57" s="229"/>
      <c r="I57" s="229"/>
      <c r="J57" s="230">
        <v>26.7</v>
      </c>
    </row>
    <row r="58" spans="1:10" ht="18.75" x14ac:dyDescent="0.3">
      <c r="A58" s="225" t="s">
        <v>767</v>
      </c>
      <c r="B58" s="226" t="s">
        <v>780</v>
      </c>
      <c r="C58" s="227">
        <v>540849</v>
      </c>
      <c r="D58" s="228">
        <v>45618</v>
      </c>
      <c r="E58" s="229"/>
      <c r="F58" s="229"/>
      <c r="G58" s="229"/>
      <c r="H58" s="229"/>
      <c r="I58" s="229"/>
      <c r="J58" s="230">
        <v>24.8</v>
      </c>
    </row>
    <row r="59" spans="1:10" ht="18.75" x14ac:dyDescent="0.3">
      <c r="A59" s="225" t="s">
        <v>767</v>
      </c>
      <c r="B59" s="226" t="s">
        <v>791</v>
      </c>
      <c r="C59" s="227">
        <v>540863</v>
      </c>
      <c r="D59" s="228">
        <v>45618</v>
      </c>
      <c r="E59" s="229"/>
      <c r="F59" s="229"/>
      <c r="G59" s="229"/>
      <c r="H59" s="229"/>
      <c r="I59" s="229"/>
      <c r="J59" s="230">
        <v>25.32</v>
      </c>
    </row>
    <row r="60" spans="1:10" ht="18.75" x14ac:dyDescent="0.3">
      <c r="A60" s="225" t="s">
        <v>767</v>
      </c>
      <c r="B60" s="226" t="s">
        <v>773</v>
      </c>
      <c r="C60" s="227">
        <v>540864</v>
      </c>
      <c r="D60" s="228">
        <v>45618</v>
      </c>
      <c r="E60" s="229"/>
      <c r="F60" s="229"/>
      <c r="G60" s="229"/>
      <c r="H60" s="229"/>
      <c r="I60" s="229"/>
      <c r="J60" s="230">
        <v>27</v>
      </c>
    </row>
    <row r="61" spans="1:10" ht="18.75" x14ac:dyDescent="0.3">
      <c r="A61" s="225" t="s">
        <v>767</v>
      </c>
      <c r="B61" s="226" t="s">
        <v>768</v>
      </c>
      <c r="C61" s="227">
        <v>540872</v>
      </c>
      <c r="D61" s="228">
        <v>45621</v>
      </c>
      <c r="E61" s="229"/>
      <c r="F61" s="229"/>
      <c r="G61" s="229"/>
      <c r="H61" s="229"/>
      <c r="I61" s="229"/>
      <c r="J61" s="230">
        <v>25.22</v>
      </c>
    </row>
    <row r="62" spans="1:10" ht="18.75" x14ac:dyDescent="0.3">
      <c r="A62" s="225" t="s">
        <v>767</v>
      </c>
      <c r="B62" s="226" t="s">
        <v>792</v>
      </c>
      <c r="C62" s="227">
        <v>540873</v>
      </c>
      <c r="D62" s="228">
        <v>45621</v>
      </c>
      <c r="E62" s="229"/>
      <c r="F62" s="229"/>
      <c r="G62" s="229"/>
      <c r="H62" s="229"/>
      <c r="I62" s="229"/>
      <c r="J62" s="230">
        <v>24.76</v>
      </c>
    </row>
    <row r="63" spans="1:10" ht="18.75" x14ac:dyDescent="0.3">
      <c r="A63" s="225" t="s">
        <v>767</v>
      </c>
      <c r="B63" s="226" t="s">
        <v>774</v>
      </c>
      <c r="C63" s="227">
        <v>540874</v>
      </c>
      <c r="D63" s="228">
        <v>45621</v>
      </c>
      <c r="E63" s="229"/>
      <c r="F63" s="229"/>
      <c r="G63" s="229"/>
      <c r="H63" s="229"/>
      <c r="I63" s="229"/>
      <c r="J63" s="230">
        <v>27.08</v>
      </c>
    </row>
    <row r="64" spans="1:10" ht="18.75" x14ac:dyDescent="0.3">
      <c r="A64" s="225" t="s">
        <v>767</v>
      </c>
      <c r="B64" s="226" t="s">
        <v>768</v>
      </c>
      <c r="C64" s="227">
        <v>580875</v>
      </c>
      <c r="D64" s="228">
        <v>45621</v>
      </c>
      <c r="E64" s="229"/>
      <c r="F64" s="229"/>
      <c r="G64" s="229"/>
      <c r="H64" s="229"/>
      <c r="I64" s="229"/>
      <c r="J64" s="230">
        <v>27.4</v>
      </c>
    </row>
    <row r="65" spans="1:10" ht="18.75" x14ac:dyDescent="0.3">
      <c r="A65" s="225" t="s">
        <v>767</v>
      </c>
      <c r="B65" s="226" t="s">
        <v>780</v>
      </c>
      <c r="C65" s="227">
        <v>540882</v>
      </c>
      <c r="D65" s="228">
        <v>45622</v>
      </c>
      <c r="E65" s="229"/>
      <c r="F65" s="229"/>
      <c r="G65" s="229"/>
      <c r="H65" s="229"/>
      <c r="I65" s="229"/>
      <c r="J65" s="230">
        <v>24.54</v>
      </c>
    </row>
    <row r="66" spans="1:10" ht="18.75" x14ac:dyDescent="0.3">
      <c r="A66" s="225" t="s">
        <v>767</v>
      </c>
      <c r="B66" s="226" t="s">
        <v>768</v>
      </c>
      <c r="C66" s="227">
        <v>540883</v>
      </c>
      <c r="D66" s="228">
        <v>45622</v>
      </c>
      <c r="E66" s="229"/>
      <c r="F66" s="229"/>
      <c r="G66" s="229"/>
      <c r="H66" s="229"/>
      <c r="I66" s="229"/>
      <c r="J66" s="230">
        <v>25.98</v>
      </c>
    </row>
    <row r="67" spans="1:10" ht="18.75" x14ac:dyDescent="0.3">
      <c r="A67" s="225" t="s">
        <v>767</v>
      </c>
      <c r="B67" s="226" t="s">
        <v>773</v>
      </c>
      <c r="C67" s="227">
        <v>540884</v>
      </c>
      <c r="D67" s="228">
        <v>45622</v>
      </c>
      <c r="E67" s="229"/>
      <c r="F67" s="229"/>
      <c r="G67" s="229"/>
      <c r="H67" s="229"/>
      <c r="I67" s="229"/>
      <c r="J67" s="230">
        <v>25.82</v>
      </c>
    </row>
    <row r="68" spans="1:10" ht="18.75" x14ac:dyDescent="0.3">
      <c r="A68" s="225" t="s">
        <v>767</v>
      </c>
      <c r="B68" s="226" t="s">
        <v>772</v>
      </c>
      <c r="C68" s="227">
        <v>540878</v>
      </c>
      <c r="D68" s="228">
        <v>45622</v>
      </c>
      <c r="E68" s="229"/>
      <c r="F68" s="229"/>
      <c r="G68" s="229"/>
      <c r="H68" s="229"/>
      <c r="I68" s="229"/>
      <c r="J68" s="230">
        <v>19.600000000000001</v>
      </c>
    </row>
    <row r="69" spans="1:10" ht="18.75" x14ac:dyDescent="0.3">
      <c r="A69" s="225" t="s">
        <v>767</v>
      </c>
      <c r="B69" s="226" t="s">
        <v>793</v>
      </c>
      <c r="C69" s="227">
        <v>540879</v>
      </c>
      <c r="D69" s="228">
        <v>45622</v>
      </c>
      <c r="E69" s="229"/>
      <c r="F69" s="229"/>
      <c r="G69" s="229"/>
      <c r="H69" s="229"/>
      <c r="I69" s="229"/>
      <c r="J69" s="230">
        <v>21.94</v>
      </c>
    </row>
    <row r="70" spans="1:10" ht="18.75" x14ac:dyDescent="0.3">
      <c r="A70" s="225" t="s">
        <v>767</v>
      </c>
      <c r="B70" s="226" t="s">
        <v>794</v>
      </c>
      <c r="C70" s="227">
        <v>540881</v>
      </c>
      <c r="D70" s="228">
        <v>45622</v>
      </c>
      <c r="E70" s="229"/>
      <c r="F70" s="229"/>
      <c r="G70" s="229"/>
      <c r="H70" s="229"/>
      <c r="I70" s="229"/>
      <c r="J70" s="230">
        <v>24.68</v>
      </c>
    </row>
    <row r="71" spans="1:10" ht="18.75" x14ac:dyDescent="0.3">
      <c r="A71" s="225" t="s">
        <v>795</v>
      </c>
      <c r="B71" s="226" t="s">
        <v>796</v>
      </c>
      <c r="C71" s="227" t="s">
        <v>797</v>
      </c>
      <c r="D71" s="228">
        <v>45608</v>
      </c>
      <c r="E71" s="229"/>
      <c r="F71" s="229"/>
      <c r="G71" s="229"/>
      <c r="H71" s="229"/>
      <c r="I71" s="229"/>
      <c r="J71" s="230">
        <v>41.38</v>
      </c>
    </row>
    <row r="72" spans="1:10" ht="18.75" x14ac:dyDescent="0.3">
      <c r="A72" s="225" t="s">
        <v>795</v>
      </c>
      <c r="B72" s="226" t="s">
        <v>798</v>
      </c>
      <c r="C72" s="227" t="s">
        <v>799</v>
      </c>
      <c r="D72" s="228">
        <v>45608</v>
      </c>
      <c r="E72" s="229"/>
      <c r="F72" s="229"/>
      <c r="G72" s="229"/>
      <c r="H72" s="229"/>
      <c r="I72" s="229"/>
      <c r="J72" s="230">
        <v>46.26</v>
      </c>
    </row>
    <row r="73" spans="1:10" ht="18.75" x14ac:dyDescent="0.3">
      <c r="A73" s="225" t="s">
        <v>795</v>
      </c>
      <c r="B73" s="226" t="s">
        <v>800</v>
      </c>
      <c r="C73" s="227" t="s">
        <v>801</v>
      </c>
      <c r="D73" s="228">
        <v>45608</v>
      </c>
      <c r="E73" s="229"/>
      <c r="F73" s="229"/>
      <c r="G73" s="229"/>
      <c r="H73" s="229"/>
      <c r="I73" s="229"/>
      <c r="J73" s="230">
        <v>46.02</v>
      </c>
    </row>
    <row r="74" spans="1:10" ht="18.75" x14ac:dyDescent="0.3">
      <c r="A74" s="225" t="s">
        <v>795</v>
      </c>
      <c r="B74" s="226" t="s">
        <v>802</v>
      </c>
      <c r="C74" s="227" t="s">
        <v>803</v>
      </c>
      <c r="D74" s="228">
        <v>45608</v>
      </c>
      <c r="E74" s="229"/>
      <c r="F74" s="229"/>
      <c r="G74" s="229"/>
      <c r="H74" s="229"/>
      <c r="I74" s="229"/>
      <c r="J74" s="230">
        <v>51</v>
      </c>
    </row>
    <row r="75" spans="1:10" ht="18.75" x14ac:dyDescent="0.3">
      <c r="A75" s="225" t="s">
        <v>795</v>
      </c>
      <c r="B75" s="226" t="s">
        <v>804</v>
      </c>
      <c r="C75" s="227" t="s">
        <v>805</v>
      </c>
      <c r="D75" s="228">
        <v>45608</v>
      </c>
      <c r="E75" s="229"/>
      <c r="F75" s="229"/>
      <c r="G75" s="229"/>
      <c r="H75" s="229"/>
      <c r="I75" s="229"/>
      <c r="J75" s="230">
        <v>43.18</v>
      </c>
    </row>
    <row r="76" spans="1:10" ht="18.75" x14ac:dyDescent="0.3">
      <c r="A76" s="225" t="s">
        <v>795</v>
      </c>
      <c r="B76" s="226" t="s">
        <v>806</v>
      </c>
      <c r="C76" s="227" t="s">
        <v>807</v>
      </c>
      <c r="D76" s="228">
        <v>45609</v>
      </c>
      <c r="E76" s="229"/>
      <c r="F76" s="229"/>
      <c r="G76" s="229"/>
      <c r="H76" s="229"/>
      <c r="I76" s="229"/>
      <c r="J76" s="230">
        <v>40.619999999999997</v>
      </c>
    </row>
    <row r="77" spans="1:10" ht="18.75" x14ac:dyDescent="0.3">
      <c r="A77" s="225" t="s">
        <v>795</v>
      </c>
      <c r="B77" s="226" t="s">
        <v>808</v>
      </c>
      <c r="C77" s="227" t="s">
        <v>809</v>
      </c>
      <c r="D77" s="228">
        <v>45609</v>
      </c>
      <c r="E77" s="229"/>
      <c r="F77" s="229"/>
      <c r="G77" s="229"/>
      <c r="H77" s="229"/>
      <c r="I77" s="229"/>
      <c r="J77" s="230">
        <v>51.78</v>
      </c>
    </row>
    <row r="78" spans="1:10" ht="18.75" x14ac:dyDescent="0.3">
      <c r="A78" s="225" t="s">
        <v>795</v>
      </c>
      <c r="B78" s="226" t="s">
        <v>810</v>
      </c>
      <c r="C78" s="227" t="s">
        <v>811</v>
      </c>
      <c r="D78" s="228">
        <v>45614</v>
      </c>
      <c r="E78" s="229"/>
      <c r="F78" s="229"/>
      <c r="G78" s="229"/>
      <c r="H78" s="229"/>
      <c r="I78" s="229"/>
      <c r="J78" s="230">
        <v>41.98</v>
      </c>
    </row>
    <row r="79" spans="1:10" ht="18.75" x14ac:dyDescent="0.3">
      <c r="A79" s="225" t="s">
        <v>795</v>
      </c>
      <c r="B79" s="226" t="s">
        <v>812</v>
      </c>
      <c r="C79" s="227" t="s">
        <v>813</v>
      </c>
      <c r="D79" s="228">
        <v>45614</v>
      </c>
      <c r="E79" s="229"/>
      <c r="F79" s="229"/>
      <c r="G79" s="229"/>
      <c r="H79" s="229"/>
      <c r="I79" s="229"/>
      <c r="J79" s="230">
        <v>34.92</v>
      </c>
    </row>
    <row r="80" spans="1:10" ht="18.75" x14ac:dyDescent="0.3">
      <c r="A80" s="225" t="s">
        <v>795</v>
      </c>
      <c r="B80" s="226" t="s">
        <v>802</v>
      </c>
      <c r="C80" s="227" t="s">
        <v>814</v>
      </c>
      <c r="D80" s="228">
        <v>45614</v>
      </c>
      <c r="E80" s="229"/>
      <c r="F80" s="229"/>
      <c r="G80" s="229"/>
      <c r="H80" s="229"/>
      <c r="I80" s="229"/>
      <c r="J80" s="230">
        <v>54.82</v>
      </c>
    </row>
    <row r="81" spans="1:10" ht="18.75" x14ac:dyDescent="0.3">
      <c r="A81" s="225" t="s">
        <v>795</v>
      </c>
      <c r="B81" s="226" t="s">
        <v>798</v>
      </c>
      <c r="C81" s="227" t="s">
        <v>815</v>
      </c>
      <c r="D81" s="228">
        <v>45614</v>
      </c>
      <c r="E81" s="229"/>
      <c r="F81" s="229"/>
      <c r="G81" s="229"/>
      <c r="H81" s="229"/>
      <c r="I81" s="229"/>
      <c r="J81" s="230">
        <v>45.7</v>
      </c>
    </row>
    <row r="82" spans="1:10" ht="18.75" x14ac:dyDescent="0.3">
      <c r="A82" s="225" t="s">
        <v>795</v>
      </c>
      <c r="B82" s="226" t="s">
        <v>816</v>
      </c>
      <c r="C82" s="227" t="s">
        <v>817</v>
      </c>
      <c r="D82" s="228">
        <v>45614</v>
      </c>
      <c r="E82" s="229"/>
      <c r="F82" s="229"/>
      <c r="G82" s="229"/>
      <c r="H82" s="229"/>
      <c r="I82" s="229"/>
      <c r="J82" s="230">
        <v>42.82</v>
      </c>
    </row>
    <row r="83" spans="1:10" ht="18.75" x14ac:dyDescent="0.3">
      <c r="A83" s="225" t="s">
        <v>795</v>
      </c>
      <c r="B83" s="226" t="s">
        <v>808</v>
      </c>
      <c r="C83" s="227" t="s">
        <v>818</v>
      </c>
      <c r="D83" s="228">
        <v>45614</v>
      </c>
      <c r="E83" s="229"/>
      <c r="F83" s="229"/>
      <c r="G83" s="229"/>
      <c r="H83" s="229"/>
      <c r="I83" s="229"/>
      <c r="J83" s="230">
        <v>48.14</v>
      </c>
    </row>
    <row r="84" spans="1:10" ht="18.75" x14ac:dyDescent="0.3">
      <c r="A84" s="225" t="s">
        <v>795</v>
      </c>
      <c r="B84" s="226" t="s">
        <v>819</v>
      </c>
      <c r="C84" s="227" t="s">
        <v>820</v>
      </c>
      <c r="D84" s="228">
        <v>38313</v>
      </c>
      <c r="E84" s="229"/>
      <c r="F84" s="229"/>
      <c r="G84" s="229"/>
      <c r="H84" s="229"/>
      <c r="I84" s="229"/>
      <c r="J84" s="230">
        <v>41.42</v>
      </c>
    </row>
    <row r="85" spans="1:10" ht="18.75" x14ac:dyDescent="0.3">
      <c r="A85" s="225" t="s">
        <v>795</v>
      </c>
      <c r="B85" s="226" t="s">
        <v>821</v>
      </c>
      <c r="C85" s="227" t="s">
        <v>822</v>
      </c>
      <c r="D85" s="228">
        <v>38313</v>
      </c>
      <c r="E85" s="229"/>
      <c r="F85" s="229"/>
      <c r="G85" s="229"/>
      <c r="H85" s="229"/>
      <c r="I85" s="229"/>
      <c r="J85" s="230">
        <v>42.6</v>
      </c>
    </row>
    <row r="86" spans="1:10" ht="18.75" x14ac:dyDescent="0.3">
      <c r="A86" s="225" t="s">
        <v>795</v>
      </c>
      <c r="B86" s="226" t="s">
        <v>823</v>
      </c>
      <c r="C86" s="227" t="s">
        <v>824</v>
      </c>
      <c r="D86" s="228">
        <v>38313</v>
      </c>
      <c r="E86" s="229"/>
      <c r="F86" s="229"/>
      <c r="G86" s="229"/>
      <c r="H86" s="229"/>
      <c r="I86" s="229"/>
      <c r="J86" s="230">
        <v>41.88</v>
      </c>
    </row>
    <row r="87" spans="1:10" ht="18.75" x14ac:dyDescent="0.3">
      <c r="A87" s="225" t="s">
        <v>795</v>
      </c>
      <c r="B87" s="226" t="s">
        <v>812</v>
      </c>
      <c r="C87" s="227" t="s">
        <v>825</v>
      </c>
      <c r="D87" s="228">
        <v>38313</v>
      </c>
      <c r="E87" s="229"/>
      <c r="F87" s="229"/>
      <c r="G87" s="229"/>
      <c r="H87" s="229"/>
      <c r="I87" s="229"/>
      <c r="J87" s="230">
        <v>32.36</v>
      </c>
    </row>
    <row r="88" spans="1:10" ht="18.75" x14ac:dyDescent="0.3">
      <c r="A88" s="225" t="s">
        <v>795</v>
      </c>
      <c r="B88" s="226" t="s">
        <v>823</v>
      </c>
      <c r="C88" s="227" t="s">
        <v>826</v>
      </c>
      <c r="D88" s="228">
        <v>38313</v>
      </c>
      <c r="E88" s="229"/>
      <c r="F88" s="229"/>
      <c r="G88" s="229"/>
      <c r="H88" s="229"/>
      <c r="I88" s="229"/>
      <c r="J88" s="230">
        <v>42.58</v>
      </c>
    </row>
    <row r="89" spans="1:10" ht="18.75" x14ac:dyDescent="0.3">
      <c r="A89" s="225" t="s">
        <v>795</v>
      </c>
      <c r="B89" s="226" t="s">
        <v>806</v>
      </c>
      <c r="C89" s="227" t="s">
        <v>827</v>
      </c>
      <c r="D89" s="228">
        <v>38313</v>
      </c>
      <c r="E89" s="229"/>
      <c r="F89" s="229"/>
      <c r="G89" s="229"/>
      <c r="H89" s="229"/>
      <c r="I89" s="229"/>
      <c r="J89" s="230">
        <v>42.44</v>
      </c>
    </row>
    <row r="90" spans="1:10" ht="18.75" x14ac:dyDescent="0.3">
      <c r="A90" s="225" t="s">
        <v>795</v>
      </c>
      <c r="B90" s="226" t="s">
        <v>828</v>
      </c>
      <c r="C90" s="227" t="s">
        <v>829</v>
      </c>
      <c r="D90" s="228">
        <v>38313</v>
      </c>
      <c r="E90" s="229"/>
      <c r="F90" s="229"/>
      <c r="G90" s="229"/>
      <c r="H90" s="229"/>
      <c r="I90" s="229"/>
      <c r="J90" s="230">
        <v>43.06</v>
      </c>
    </row>
    <row r="91" spans="1:10" ht="18.75" x14ac:dyDescent="0.3">
      <c r="A91" s="225" t="s">
        <v>795</v>
      </c>
      <c r="B91" s="226" t="s">
        <v>830</v>
      </c>
      <c r="C91" s="227" t="s">
        <v>831</v>
      </c>
      <c r="D91" s="228">
        <v>38313</v>
      </c>
      <c r="E91" s="229"/>
      <c r="F91" s="229"/>
      <c r="G91" s="229"/>
      <c r="H91" s="229"/>
      <c r="I91" s="229"/>
      <c r="J91" s="230">
        <v>45.32</v>
      </c>
    </row>
    <row r="92" spans="1:10" ht="18.75" x14ac:dyDescent="0.3">
      <c r="A92" s="225" t="s">
        <v>795</v>
      </c>
      <c r="B92" s="226" t="s">
        <v>832</v>
      </c>
      <c r="C92" s="227" t="s">
        <v>833</v>
      </c>
      <c r="D92" s="228">
        <v>38313</v>
      </c>
      <c r="E92" s="229"/>
      <c r="F92" s="229"/>
      <c r="G92" s="229"/>
      <c r="H92" s="229"/>
      <c r="I92" s="229"/>
      <c r="J92" s="230">
        <v>40.840000000000003</v>
      </c>
    </row>
    <row r="93" spans="1:10" ht="18.75" x14ac:dyDescent="0.3">
      <c r="A93" s="225" t="s">
        <v>795</v>
      </c>
      <c r="B93" s="226" t="s">
        <v>834</v>
      </c>
      <c r="C93" s="227" t="s">
        <v>835</v>
      </c>
      <c r="D93" s="228">
        <v>38313</v>
      </c>
      <c r="E93" s="229"/>
      <c r="F93" s="229"/>
      <c r="G93" s="229"/>
      <c r="H93" s="229"/>
      <c r="I93" s="229"/>
      <c r="J93" s="230">
        <v>31.92</v>
      </c>
    </row>
    <row r="94" spans="1:10" x14ac:dyDescent="0.25">
      <c r="A94" s="480" t="s">
        <v>32</v>
      </c>
      <c r="B94" s="480"/>
      <c r="C94" s="480"/>
      <c r="D94" s="480"/>
      <c r="E94" s="233"/>
      <c r="F94" s="233"/>
      <c r="G94" s="233"/>
      <c r="H94" s="233"/>
      <c r="I94" s="233"/>
      <c r="J94" s="234">
        <f>SUM(J7:J93)</f>
        <v>2571.1600000000008</v>
      </c>
    </row>
    <row r="96" spans="1:10" x14ac:dyDescent="0.25">
      <c r="A96" s="232" t="s">
        <v>836</v>
      </c>
      <c r="B96" s="235">
        <f>J94/1.5</f>
        <v>1714.1066666666673</v>
      </c>
    </row>
    <row r="97" spans="1:2" x14ac:dyDescent="0.25">
      <c r="A97" s="232" t="s">
        <v>837</v>
      </c>
      <c r="B97" s="235">
        <f>J94*17.05</f>
        <v>43838.278000000013</v>
      </c>
    </row>
    <row r="98" spans="1:2" x14ac:dyDescent="0.25">
      <c r="A98" s="232"/>
    </row>
  </sheetData>
  <mergeCells count="5">
    <mergeCell ref="A94:D94"/>
    <mergeCell ref="A5:A6"/>
    <mergeCell ref="B5:B6"/>
    <mergeCell ref="C5:C6"/>
    <mergeCell ref="D5:I5"/>
  </mergeCells>
  <conditionalFormatting sqref="A7:B70">
    <cfRule type="expression" dxfId="13" priority="54">
      <formula>#REF!="A vencer"</formula>
    </cfRule>
    <cfRule type="expression" dxfId="12" priority="55">
      <formula>#REF!="Ativo"</formula>
    </cfRule>
  </conditionalFormatting>
  <conditionalFormatting sqref="A7:J70">
    <cfRule type="expression" dxfId="11" priority="53">
      <formula>#REF!="Vencido"</formula>
    </cfRule>
  </conditionalFormatting>
  <conditionalFormatting sqref="A71:J93">
    <cfRule type="expression" dxfId="10" priority="31">
      <formula>#REF!="Vencido"</formula>
    </cfRule>
    <cfRule type="expression" dxfId="9" priority="32">
      <formula>#REF!="A vencer"</formula>
    </cfRule>
    <cfRule type="expression" dxfId="8" priority="33">
      <formula>#REF!="Ativo"</formula>
    </cfRule>
  </conditionalFormatting>
  <conditionalFormatting sqref="C64:C70">
    <cfRule type="expression" dxfId="7" priority="60">
      <formula>#REF!="A vencer"</formula>
    </cfRule>
    <cfRule type="expression" dxfId="6" priority="61">
      <formula>#REF!="Ativo"</formula>
    </cfRule>
  </conditionalFormatting>
  <conditionalFormatting sqref="C7:J63">
    <cfRule type="expression" dxfId="5" priority="57">
      <formula>#REF!="A vencer"</formula>
    </cfRule>
    <cfRule type="expression" dxfId="4" priority="58">
      <formula>#REF!="Ativo"</formula>
    </cfRule>
  </conditionalFormatting>
  <conditionalFormatting sqref="D64:I70">
    <cfRule type="expression" dxfId="3" priority="51">
      <formula>#REF!="A vencer"</formula>
    </cfRule>
    <cfRule type="expression" dxfId="2" priority="52">
      <formula>#REF!="Ativo"</formula>
    </cfRule>
  </conditionalFormatting>
  <conditionalFormatting sqref="J64:J70">
    <cfRule type="expression" dxfId="1" priority="80">
      <formula>#REF!="A vencer"</formula>
    </cfRule>
    <cfRule type="expression" dxfId="0" priority="81">
      <formula>#REF!="Ativo"</formula>
    </cfRule>
  </conditionalFormatting>
  <pageMargins left="0.511811024" right="0.511811024" top="0.78740157499999996" bottom="0.78740157499999996" header="0.31496062000000002" footer="0.31496062000000002"/>
  <pageSetup paperSize="9" scale="64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B7608-C8B1-429C-9473-237B129E2CF9}">
  <sheetPr>
    <pageSetUpPr fitToPage="1"/>
  </sheetPr>
  <dimension ref="A1:Q879"/>
  <sheetViews>
    <sheetView view="pageBreakPreview" topLeftCell="A4" zoomScale="85" zoomScaleNormal="100" zoomScaleSheetLayoutView="85" workbookViewId="0">
      <selection activeCell="E60" sqref="E60"/>
    </sheetView>
  </sheetViews>
  <sheetFormatPr defaultColWidth="16.83203125" defaultRowHeight="15" customHeight="1" x14ac:dyDescent="0.25"/>
  <cols>
    <col min="1" max="1" width="29.6640625" style="183" customWidth="1"/>
    <col min="2" max="2" width="26.1640625" style="183" customWidth="1"/>
    <col min="3" max="3" width="33" style="183" customWidth="1"/>
    <col min="4" max="4" width="25.1640625" style="183" customWidth="1"/>
    <col min="5" max="5" width="23" style="183" customWidth="1"/>
    <col min="6" max="6" width="22.33203125" style="183" customWidth="1"/>
    <col min="7" max="7" width="14.33203125" style="183" customWidth="1"/>
    <col min="8" max="8" width="19.5" style="183" customWidth="1"/>
    <col min="9" max="17" width="10.1640625" style="183" customWidth="1"/>
    <col min="18" max="16384" width="16.83203125" style="183"/>
  </cols>
  <sheetData>
    <row r="1" spans="1:17" ht="15.75" customHeight="1" x14ac:dyDescent="0.25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</row>
    <row r="2" spans="1:17" ht="15.75" customHeight="1" x14ac:dyDescent="0.25">
      <c r="A2" s="486" t="s">
        <v>0</v>
      </c>
      <c r="B2" s="487"/>
      <c r="C2" s="487"/>
      <c r="D2" s="487"/>
      <c r="E2" s="487"/>
      <c r="F2" s="487"/>
      <c r="G2" s="487"/>
      <c r="H2" s="488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5.75" customHeight="1" x14ac:dyDescent="0.25">
      <c r="A3" s="486"/>
      <c r="B3" s="487"/>
      <c r="C3" s="487"/>
      <c r="D3" s="487"/>
      <c r="E3" s="487"/>
      <c r="F3" s="487"/>
      <c r="G3" s="487"/>
      <c r="H3" s="488"/>
      <c r="I3" s="182"/>
      <c r="J3" s="182"/>
      <c r="K3" s="182"/>
      <c r="L3" s="182"/>
      <c r="M3" s="182"/>
      <c r="N3" s="182"/>
      <c r="O3" s="182"/>
      <c r="P3" s="182"/>
      <c r="Q3" s="182"/>
    </row>
    <row r="4" spans="1:17" ht="15.75" customHeight="1" x14ac:dyDescent="0.25">
      <c r="A4" s="184"/>
      <c r="B4" s="360"/>
      <c r="C4" s="185"/>
      <c r="D4" s="360"/>
      <c r="E4" s="186"/>
      <c r="F4" s="186"/>
      <c r="G4" s="186"/>
      <c r="H4" s="187"/>
      <c r="I4" s="182"/>
      <c r="J4" s="182"/>
      <c r="K4" s="182"/>
      <c r="L4" s="182"/>
      <c r="M4" s="182"/>
      <c r="N4" s="182"/>
      <c r="O4" s="182"/>
      <c r="P4" s="182"/>
      <c r="Q4" s="182"/>
    </row>
    <row r="5" spans="1:17" ht="32.25" customHeight="1" x14ac:dyDescent="0.25">
      <c r="A5" s="486" t="s">
        <v>1</v>
      </c>
      <c r="B5" s="487"/>
      <c r="C5" s="487"/>
      <c r="D5" s="487"/>
      <c r="E5" s="487"/>
      <c r="F5" s="487"/>
      <c r="G5" s="487"/>
      <c r="H5" s="488"/>
      <c r="I5" s="182"/>
      <c r="J5" s="182"/>
      <c r="K5" s="182"/>
      <c r="L5" s="182"/>
      <c r="M5" s="182"/>
      <c r="N5" s="182"/>
      <c r="O5" s="182"/>
      <c r="P5" s="182"/>
      <c r="Q5" s="182"/>
    </row>
    <row r="6" spans="1:17" ht="15.75" customHeight="1" x14ac:dyDescent="0.25">
      <c r="A6" s="188"/>
      <c r="B6" s="189"/>
      <c r="C6" s="189"/>
      <c r="D6" s="360"/>
      <c r="E6" s="186"/>
      <c r="F6" s="186"/>
      <c r="G6" s="186"/>
      <c r="H6" s="187"/>
      <c r="I6" s="182"/>
      <c r="J6" s="182"/>
      <c r="K6" s="182"/>
      <c r="L6" s="182"/>
      <c r="M6" s="182"/>
      <c r="N6" s="182"/>
      <c r="O6" s="182"/>
      <c r="P6" s="182"/>
      <c r="Q6" s="182"/>
    </row>
    <row r="7" spans="1:17" ht="15.75" customHeight="1" x14ac:dyDescent="0.25">
      <c r="A7" s="489" t="s">
        <v>838</v>
      </c>
      <c r="B7" s="490"/>
      <c r="C7" s="490"/>
      <c r="D7" s="490"/>
      <c r="E7" s="490"/>
      <c r="F7" s="490"/>
      <c r="G7" s="490"/>
      <c r="H7" s="491"/>
      <c r="I7" s="182"/>
      <c r="J7" s="182"/>
      <c r="K7" s="182"/>
      <c r="L7" s="182"/>
      <c r="M7" s="182"/>
      <c r="N7" s="182"/>
      <c r="O7" s="182"/>
      <c r="P7" s="182"/>
      <c r="Q7" s="182"/>
    </row>
    <row r="8" spans="1:17" ht="15.75" customHeight="1" x14ac:dyDescent="0.25">
      <c r="A8" s="190" t="s">
        <v>8</v>
      </c>
      <c r="B8" s="191" t="s">
        <v>9</v>
      </c>
      <c r="C8" s="192"/>
      <c r="D8" s="192"/>
      <c r="E8" s="193" t="s">
        <v>24</v>
      </c>
      <c r="F8" s="152">
        <f>'PLANILHA - BM 15 CT'!F8</f>
        <v>15</v>
      </c>
      <c r="G8" s="194"/>
      <c r="H8" s="195"/>
      <c r="I8" s="182"/>
      <c r="J8" s="182"/>
      <c r="K8" s="182"/>
      <c r="L8" s="182"/>
      <c r="M8" s="182"/>
      <c r="N8" s="182"/>
      <c r="O8" s="182"/>
      <c r="P8" s="182"/>
      <c r="Q8" s="182"/>
    </row>
    <row r="9" spans="1:17" ht="15.75" customHeight="1" x14ac:dyDescent="0.25">
      <c r="A9" s="196" t="s">
        <v>5</v>
      </c>
      <c r="B9" s="197" t="s">
        <v>25</v>
      </c>
      <c r="C9" s="197"/>
      <c r="D9" s="197"/>
      <c r="E9" s="198" t="s">
        <v>26</v>
      </c>
      <c r="F9" s="492" t="str">
        <f>'PLANILHA - BM 15 CT'!F9</f>
        <v>08/05/25 à 31/05/25</v>
      </c>
      <c r="G9" s="492"/>
      <c r="H9" s="493"/>
      <c r="I9" s="182"/>
      <c r="J9" s="182"/>
      <c r="K9" s="182"/>
      <c r="L9" s="182"/>
      <c r="M9" s="182"/>
      <c r="N9" s="182"/>
      <c r="O9" s="182"/>
      <c r="P9" s="182"/>
      <c r="Q9" s="182"/>
    </row>
    <row r="10" spans="1:17" ht="15.75" customHeight="1" x14ac:dyDescent="0.25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</row>
    <row r="11" spans="1:17" ht="15.75" customHeight="1" x14ac:dyDescent="0.25">
      <c r="A11" s="494" t="s">
        <v>839</v>
      </c>
      <c r="B11" s="494"/>
      <c r="C11" s="494"/>
      <c r="D11" s="494"/>
      <c r="E11" s="494"/>
      <c r="F11" s="494"/>
      <c r="G11" s="494"/>
      <c r="H11" s="494"/>
      <c r="I11" s="182"/>
      <c r="J11" s="182"/>
      <c r="K11" s="182"/>
      <c r="L11" s="182"/>
      <c r="M11" s="182"/>
      <c r="N11" s="182"/>
      <c r="O11" s="182"/>
      <c r="P11" s="182"/>
      <c r="Q11" s="182"/>
    </row>
    <row r="12" spans="1:17" ht="15.75" customHeight="1" x14ac:dyDescent="0.25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</row>
    <row r="13" spans="1:17" ht="15.75" customHeight="1" x14ac:dyDescent="0.25">
      <c r="A13" s="341" t="s">
        <v>615</v>
      </c>
      <c r="B13" s="341" t="s">
        <v>661</v>
      </c>
      <c r="C13" s="341" t="s">
        <v>616</v>
      </c>
      <c r="D13" s="341" t="s">
        <v>840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</row>
    <row r="14" spans="1:17" ht="15.75" customHeight="1" x14ac:dyDescent="0.25">
      <c r="A14" s="202" t="s">
        <v>841</v>
      </c>
      <c r="B14" s="202">
        <v>165</v>
      </c>
      <c r="C14" s="202" t="s">
        <v>625</v>
      </c>
      <c r="D14" s="202" t="s">
        <v>842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</row>
    <row r="15" spans="1:17" s="200" customFormat="1" x14ac:dyDescent="0.2">
      <c r="A15" s="202" t="s">
        <v>841</v>
      </c>
      <c r="B15" s="202">
        <v>165</v>
      </c>
      <c r="C15" s="202" t="s">
        <v>628</v>
      </c>
      <c r="D15" s="202" t="s">
        <v>842</v>
      </c>
      <c r="E15" s="340"/>
    </row>
    <row r="16" spans="1:17" s="200" customFormat="1" ht="12.75" x14ac:dyDescent="0.2">
      <c r="A16" s="199" t="s">
        <v>843</v>
      </c>
      <c r="B16" s="199">
        <v>301</v>
      </c>
      <c r="C16" s="199" t="s">
        <v>625</v>
      </c>
      <c r="D16" s="199" t="s">
        <v>844</v>
      </c>
    </row>
    <row r="17" spans="1:17" s="200" customFormat="1" ht="12.75" x14ac:dyDescent="0.2">
      <c r="A17" s="199" t="s">
        <v>843</v>
      </c>
      <c r="B17" s="199" t="s">
        <v>845</v>
      </c>
      <c r="C17" s="199" t="s">
        <v>625</v>
      </c>
      <c r="D17" s="199" t="s">
        <v>846</v>
      </c>
    </row>
    <row r="18" spans="1:17" s="200" customFormat="1" ht="12.75" x14ac:dyDescent="0.2">
      <c r="A18" s="199" t="s">
        <v>843</v>
      </c>
      <c r="B18" s="199" t="s">
        <v>847</v>
      </c>
      <c r="C18" s="199" t="s">
        <v>625</v>
      </c>
      <c r="D18" s="199" t="s">
        <v>848</v>
      </c>
    </row>
    <row r="19" spans="1:17" s="200" customFormat="1" x14ac:dyDescent="0.2">
      <c r="A19" s="199" t="s">
        <v>849</v>
      </c>
      <c r="B19" s="199" t="s">
        <v>850</v>
      </c>
      <c r="C19" s="202" t="s">
        <v>628</v>
      </c>
      <c r="D19" s="199" t="s">
        <v>848</v>
      </c>
    </row>
    <row r="20" spans="1:17" s="200" customFormat="1" x14ac:dyDescent="0.2">
      <c r="A20" s="199" t="s">
        <v>849</v>
      </c>
      <c r="B20" s="199" t="s">
        <v>851</v>
      </c>
      <c r="C20" s="202" t="s">
        <v>628</v>
      </c>
      <c r="D20" s="199" t="s">
        <v>848</v>
      </c>
    </row>
    <row r="21" spans="1:17" s="200" customFormat="1" ht="12.75" x14ac:dyDescent="0.2"/>
    <row r="22" spans="1:17" s="200" customFormat="1" ht="12.75" x14ac:dyDescent="0.2"/>
    <row r="23" spans="1:17" s="200" customFormat="1" ht="12.75" x14ac:dyDescent="0.2">
      <c r="B23" s="340"/>
      <c r="C23" s="340"/>
      <c r="D23" s="340"/>
      <c r="E23" s="340"/>
    </row>
    <row r="24" spans="1:17" ht="15.75" customHeight="1" x14ac:dyDescent="0.25">
      <c r="A24" s="182"/>
      <c r="B24" s="200"/>
      <c r="C24" s="200"/>
      <c r="D24" s="200"/>
      <c r="E24" s="200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7" ht="15.75" customHeight="1" x14ac:dyDescent="0.25">
      <c r="A25" s="182"/>
      <c r="B25" s="200"/>
      <c r="C25" s="200"/>
      <c r="D25" s="200"/>
      <c r="E25" s="200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7" ht="24.75" customHeight="1" x14ac:dyDescent="0.25">
      <c r="A26" s="182"/>
      <c r="B26" s="200"/>
      <c r="C26" s="336"/>
      <c r="D26" s="200"/>
      <c r="E26" s="200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</row>
    <row r="27" spans="1:17" ht="15.75" customHeight="1" x14ac:dyDescent="0.25">
      <c r="A27" s="182"/>
      <c r="B27" s="200"/>
      <c r="C27" s="340"/>
      <c r="D27" s="335"/>
      <c r="E27" s="200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</row>
    <row r="28" spans="1:17" ht="15.75" customHeight="1" x14ac:dyDescent="0.25">
      <c r="A28" s="182"/>
      <c r="B28" s="182"/>
      <c r="C28" s="340"/>
      <c r="D28" s="337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7" ht="15.75" customHeight="1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</row>
    <row r="30" spans="1:17" ht="15.75" customHeight="1" x14ac:dyDescent="0.25">
      <c r="A30" s="182"/>
      <c r="B30" s="339"/>
      <c r="C30" s="339"/>
      <c r="D30" s="338"/>
      <c r="E30" s="182"/>
      <c r="F30" s="337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</row>
    <row r="31" spans="1:17" ht="15.75" customHeight="1" x14ac:dyDescent="0.25">
      <c r="A31" s="182"/>
      <c r="B31" s="339"/>
      <c r="C31" s="339"/>
      <c r="D31" s="338"/>
      <c r="E31" s="182"/>
      <c r="F31" s="337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</row>
    <row r="32" spans="1:17" ht="15.75" customHeight="1" x14ac:dyDescent="0.25">
      <c r="A32" s="182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1:17" ht="15.75" customHeight="1" x14ac:dyDescent="0.2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</row>
    <row r="34" spans="1:17" ht="15.75" customHeight="1" x14ac:dyDescent="0.25">
      <c r="A34" s="182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</row>
    <row r="35" spans="1:17" ht="15.75" customHeight="1" x14ac:dyDescent="0.25">
      <c r="A35" s="182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</row>
    <row r="36" spans="1:17" ht="15.75" customHeight="1" x14ac:dyDescent="0.25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</row>
    <row r="37" spans="1:17" ht="15.75" customHeight="1" x14ac:dyDescent="0.25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</row>
    <row r="38" spans="1:17" ht="15.75" customHeight="1" x14ac:dyDescent="0.25">
      <c r="A38" s="182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</row>
    <row r="39" spans="1:17" ht="15.75" customHeight="1" x14ac:dyDescent="0.25">
      <c r="A39" s="182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</row>
    <row r="40" spans="1:17" ht="15.75" customHeight="1" x14ac:dyDescent="0.25">
      <c r="A40" s="182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</row>
    <row r="41" spans="1:17" ht="15.75" customHeight="1" x14ac:dyDescent="0.25">
      <c r="A41" s="182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</row>
    <row r="42" spans="1:17" ht="15.75" customHeight="1" x14ac:dyDescent="0.25">
      <c r="A42" s="182"/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</row>
    <row r="43" spans="1:17" ht="15.75" customHeight="1" x14ac:dyDescent="0.25">
      <c r="A43" s="182"/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</row>
    <row r="44" spans="1:17" ht="15.75" customHeight="1" x14ac:dyDescent="0.25">
      <c r="A44" s="182"/>
      <c r="B44" s="182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</row>
    <row r="45" spans="1:17" ht="15.75" customHeight="1" x14ac:dyDescent="0.25">
      <c r="A45" s="182"/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</row>
    <row r="46" spans="1:17" ht="15.75" customHeight="1" x14ac:dyDescent="0.25">
      <c r="A46" s="182"/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</row>
    <row r="47" spans="1:17" ht="15.75" customHeight="1" x14ac:dyDescent="0.25">
      <c r="A47" s="182"/>
      <c r="B47" s="182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ht="15.75" customHeight="1" x14ac:dyDescent="0.25">
      <c r="A48" s="182"/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</row>
    <row r="49" spans="1:17" ht="15.75" customHeight="1" x14ac:dyDescent="0.25">
      <c r="A49" s="182"/>
      <c r="B49" s="182"/>
      <c r="C49" s="182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</row>
    <row r="50" spans="1:17" ht="15.75" customHeight="1" x14ac:dyDescent="0.25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</row>
    <row r="51" spans="1:17" ht="15.75" customHeight="1" x14ac:dyDescent="0.25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</row>
    <row r="52" spans="1:17" ht="15.75" customHeight="1" x14ac:dyDescent="0.25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</row>
    <row r="53" spans="1:17" ht="15.75" customHeight="1" x14ac:dyDescent="0.25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</row>
    <row r="54" spans="1:17" ht="15.75" customHeight="1" x14ac:dyDescent="0.25">
      <c r="A54" s="182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</row>
    <row r="55" spans="1:17" ht="15.75" customHeight="1" x14ac:dyDescent="0.25">
      <c r="A55" s="182"/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</row>
    <row r="56" spans="1:17" ht="15.75" customHeight="1" x14ac:dyDescent="0.25">
      <c r="A56" s="182"/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</row>
    <row r="57" spans="1:17" ht="15.75" customHeight="1" x14ac:dyDescent="0.25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</row>
    <row r="58" spans="1:17" ht="15.75" customHeight="1" x14ac:dyDescent="0.25">
      <c r="A58" s="182"/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1:17" ht="15.75" customHeight="1" x14ac:dyDescent="0.25">
      <c r="A59" s="182"/>
      <c r="B59" s="182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</row>
    <row r="60" spans="1:17" ht="15.75" customHeight="1" x14ac:dyDescent="0.25">
      <c r="A60" s="182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</row>
    <row r="61" spans="1:17" ht="15.75" customHeight="1" x14ac:dyDescent="0.25">
      <c r="A61" s="182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1:17" ht="15.75" customHeight="1" x14ac:dyDescent="0.25">
      <c r="A62" s="182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</row>
    <row r="63" spans="1:17" ht="15.75" customHeight="1" x14ac:dyDescent="0.25">
      <c r="A63" s="182"/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</row>
    <row r="64" spans="1:17" ht="15.75" customHeight="1" x14ac:dyDescent="0.25">
      <c r="A64" s="182"/>
      <c r="B64" s="182"/>
      <c r="C64" s="182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</row>
    <row r="65" spans="1:17" ht="15.75" customHeight="1" x14ac:dyDescent="0.25">
      <c r="A65" s="182"/>
      <c r="B65" s="182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</row>
    <row r="66" spans="1:17" ht="15.75" customHeight="1" x14ac:dyDescent="0.25">
      <c r="A66" s="182"/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</row>
    <row r="67" spans="1:17" ht="15.75" customHeight="1" x14ac:dyDescent="0.25">
      <c r="A67" s="182"/>
      <c r="B67" s="182"/>
      <c r="C67" s="182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</row>
    <row r="68" spans="1:17" ht="15.75" customHeight="1" x14ac:dyDescent="0.25">
      <c r="A68" s="182"/>
      <c r="B68" s="182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</row>
    <row r="69" spans="1:17" ht="15.75" customHeight="1" x14ac:dyDescent="0.25">
      <c r="A69" s="182"/>
      <c r="B69" s="182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</row>
    <row r="70" spans="1:17" ht="15.75" customHeight="1" x14ac:dyDescent="0.25">
      <c r="A70" s="182"/>
      <c r="B70" s="182"/>
      <c r="C70" s="182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</row>
    <row r="71" spans="1:17" ht="15.75" customHeight="1" x14ac:dyDescent="0.25">
      <c r="A71" s="182"/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</row>
    <row r="72" spans="1:17" ht="15.75" customHeight="1" x14ac:dyDescent="0.25">
      <c r="A72" s="182"/>
      <c r="B72" s="182"/>
      <c r="C72" s="182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</row>
    <row r="73" spans="1:17" ht="15.75" customHeight="1" x14ac:dyDescent="0.25">
      <c r="A73" s="182"/>
      <c r="B73" s="182"/>
      <c r="C73" s="182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</row>
    <row r="74" spans="1:17" ht="15.75" customHeight="1" x14ac:dyDescent="0.25">
      <c r="A74" s="182"/>
      <c r="B74" s="182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</row>
    <row r="75" spans="1:17" ht="15.75" customHeight="1" x14ac:dyDescent="0.25">
      <c r="A75" s="182"/>
      <c r="B75" s="182"/>
      <c r="C75" s="182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</row>
    <row r="76" spans="1:17" ht="15.75" customHeight="1" x14ac:dyDescent="0.25">
      <c r="A76" s="182"/>
      <c r="B76" s="182"/>
      <c r="C76" s="182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</row>
    <row r="77" spans="1:17" ht="15.75" customHeight="1" x14ac:dyDescent="0.25">
      <c r="A77" s="182"/>
      <c r="B77" s="182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</row>
    <row r="78" spans="1:17" ht="15.75" customHeight="1" x14ac:dyDescent="0.25">
      <c r="A78" s="182"/>
      <c r="B78" s="182"/>
      <c r="C78" s="182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</row>
    <row r="79" spans="1:17" ht="15.75" customHeight="1" x14ac:dyDescent="0.25">
      <c r="A79" s="182"/>
      <c r="B79" s="182"/>
      <c r="C79" s="182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</row>
    <row r="80" spans="1:17" ht="15.75" customHeight="1" x14ac:dyDescent="0.25">
      <c r="A80" s="182"/>
      <c r="B80" s="182"/>
      <c r="C80" s="182"/>
      <c r="D80" s="182"/>
      <c r="E80" s="182"/>
      <c r="F80" s="182"/>
      <c r="G80" s="182"/>
      <c r="H80" s="182"/>
      <c r="I80" s="182"/>
      <c r="J80" s="182"/>
      <c r="K80" s="182"/>
      <c r="L80" s="182"/>
      <c r="M80" s="182"/>
      <c r="N80" s="182"/>
      <c r="O80" s="182"/>
      <c r="P80" s="182"/>
      <c r="Q80" s="182"/>
    </row>
    <row r="81" spans="1:17" ht="15.75" customHeight="1" x14ac:dyDescent="0.25">
      <c r="A81" s="182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</row>
    <row r="82" spans="1:17" ht="15.75" customHeight="1" x14ac:dyDescent="0.25">
      <c r="A82" s="182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</row>
    <row r="83" spans="1:17" ht="15.75" customHeight="1" x14ac:dyDescent="0.25">
      <c r="A83" s="182"/>
      <c r="B83" s="182"/>
      <c r="C83" s="182"/>
      <c r="D83" s="182"/>
      <c r="E83" s="182"/>
      <c r="F83" s="182"/>
      <c r="G83" s="182"/>
      <c r="H83" s="182"/>
      <c r="I83" s="182"/>
      <c r="J83" s="182"/>
      <c r="K83" s="182"/>
      <c r="L83" s="182"/>
      <c r="M83" s="182"/>
      <c r="N83" s="182"/>
      <c r="O83" s="182"/>
      <c r="P83" s="182"/>
      <c r="Q83" s="182"/>
    </row>
    <row r="84" spans="1:17" ht="15.75" customHeight="1" x14ac:dyDescent="0.25">
      <c r="A84" s="182"/>
      <c r="B84" s="182"/>
      <c r="C84" s="182"/>
      <c r="D84" s="182"/>
      <c r="E84" s="182"/>
      <c r="F84" s="182"/>
      <c r="G84" s="182"/>
      <c r="H84" s="182"/>
      <c r="I84" s="182"/>
      <c r="J84" s="182"/>
      <c r="K84" s="182"/>
      <c r="L84" s="182"/>
      <c r="M84" s="182"/>
      <c r="N84" s="182"/>
      <c r="O84" s="182"/>
      <c r="P84" s="182"/>
      <c r="Q84" s="182"/>
    </row>
    <row r="85" spans="1:17" ht="15.75" customHeight="1" x14ac:dyDescent="0.25">
      <c r="A85" s="182"/>
      <c r="B85" s="182"/>
      <c r="C85" s="182"/>
      <c r="D85" s="182"/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2"/>
      <c r="Q85" s="182"/>
    </row>
    <row r="86" spans="1:17" ht="15.75" customHeight="1" x14ac:dyDescent="0.25">
      <c r="A86" s="182"/>
      <c r="B86" s="182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2"/>
      <c r="Q86" s="182"/>
    </row>
    <row r="87" spans="1:17" ht="15.75" customHeight="1" x14ac:dyDescent="0.25">
      <c r="A87" s="182"/>
      <c r="B87" s="182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2"/>
      <c r="Q87" s="182"/>
    </row>
    <row r="88" spans="1:17" ht="15.75" customHeight="1" x14ac:dyDescent="0.25">
      <c r="A88" s="182"/>
      <c r="B88" s="182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2"/>
      <c r="Q88" s="182"/>
    </row>
    <row r="89" spans="1:17" ht="15.75" customHeight="1" x14ac:dyDescent="0.25">
      <c r="A89" s="182"/>
      <c r="B89" s="182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2"/>
      <c r="Q89" s="182"/>
    </row>
    <row r="90" spans="1:17" ht="15.75" customHeight="1" x14ac:dyDescent="0.25">
      <c r="A90" s="182"/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1:17" ht="15.75" customHeight="1" x14ac:dyDescent="0.25">
      <c r="A91" s="182"/>
      <c r="B91" s="182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2"/>
      <c r="Q91" s="182"/>
    </row>
    <row r="92" spans="1:17" ht="15.75" customHeight="1" x14ac:dyDescent="0.25">
      <c r="A92" s="182"/>
      <c r="B92" s="182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2"/>
      <c r="Q92" s="182"/>
    </row>
    <row r="93" spans="1:17" ht="15.75" customHeight="1" x14ac:dyDescent="0.25">
      <c r="A93" s="182"/>
      <c r="B93" s="182"/>
      <c r="C93" s="182"/>
      <c r="D93" s="182"/>
      <c r="E93" s="182"/>
      <c r="F93" s="182"/>
      <c r="G93" s="182"/>
      <c r="H93" s="182"/>
      <c r="I93" s="182"/>
      <c r="J93" s="182"/>
      <c r="K93" s="182"/>
      <c r="L93" s="182"/>
      <c r="M93" s="182"/>
      <c r="N93" s="182"/>
      <c r="O93" s="182"/>
      <c r="P93" s="182"/>
      <c r="Q93" s="182"/>
    </row>
    <row r="94" spans="1:17" ht="15.75" customHeight="1" x14ac:dyDescent="0.25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</row>
    <row r="95" spans="1:17" ht="15.75" customHeight="1" x14ac:dyDescent="0.25">
      <c r="A95" s="182"/>
      <c r="B95" s="182"/>
      <c r="C95" s="182"/>
      <c r="D95" s="182"/>
      <c r="E95" s="182"/>
      <c r="F95" s="182"/>
      <c r="G95" s="182"/>
      <c r="H95" s="182"/>
      <c r="I95" s="182"/>
      <c r="J95" s="182"/>
      <c r="K95" s="182"/>
      <c r="L95" s="182"/>
      <c r="M95" s="182"/>
      <c r="N95" s="182"/>
      <c r="O95" s="182"/>
      <c r="P95" s="182"/>
      <c r="Q95" s="182"/>
    </row>
    <row r="96" spans="1:17" ht="15.75" customHeight="1" x14ac:dyDescent="0.25">
      <c r="A96" s="182"/>
      <c r="B96" s="182"/>
      <c r="C96" s="182"/>
      <c r="D96" s="182"/>
      <c r="E96" s="182"/>
      <c r="F96" s="182"/>
      <c r="G96" s="182"/>
      <c r="H96" s="182"/>
      <c r="I96" s="182"/>
      <c r="J96" s="182"/>
      <c r="K96" s="182"/>
      <c r="L96" s="182"/>
      <c r="M96" s="182"/>
      <c r="N96" s="182"/>
      <c r="O96" s="182"/>
      <c r="P96" s="182"/>
      <c r="Q96" s="182"/>
    </row>
    <row r="97" spans="1:17" ht="15.75" customHeight="1" x14ac:dyDescent="0.25">
      <c r="A97" s="182"/>
      <c r="B97" s="182"/>
      <c r="C97" s="182"/>
      <c r="D97" s="182"/>
      <c r="E97" s="182"/>
      <c r="F97" s="182"/>
      <c r="G97" s="182"/>
      <c r="H97" s="182"/>
      <c r="I97" s="182"/>
      <c r="J97" s="182"/>
      <c r="K97" s="182"/>
      <c r="L97" s="182"/>
      <c r="M97" s="182"/>
      <c r="N97" s="182"/>
      <c r="O97" s="182"/>
      <c r="P97" s="182"/>
      <c r="Q97" s="182"/>
    </row>
    <row r="98" spans="1:17" ht="15.75" customHeight="1" x14ac:dyDescent="0.25">
      <c r="A98" s="182"/>
      <c r="B98" s="182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</row>
    <row r="99" spans="1:17" ht="15.75" customHeight="1" x14ac:dyDescent="0.25">
      <c r="A99" s="182"/>
      <c r="B99" s="182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2"/>
      <c r="Q99" s="182"/>
    </row>
    <row r="100" spans="1:17" ht="15.75" customHeight="1" x14ac:dyDescent="0.25">
      <c r="A100" s="182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2"/>
      <c r="O100" s="182"/>
      <c r="P100" s="182"/>
      <c r="Q100" s="182"/>
    </row>
    <row r="101" spans="1:17" ht="15.75" customHeight="1" x14ac:dyDescent="0.25">
      <c r="A101" s="182"/>
      <c r="B101" s="182"/>
      <c r="C101" s="182"/>
      <c r="D101" s="182"/>
      <c r="E101" s="182"/>
      <c r="F101" s="182"/>
      <c r="G101" s="182"/>
      <c r="H101" s="182"/>
      <c r="I101" s="182"/>
      <c r="J101" s="182"/>
      <c r="K101" s="182"/>
      <c r="L101" s="182"/>
      <c r="M101" s="182"/>
      <c r="N101" s="182"/>
      <c r="O101" s="182"/>
      <c r="P101" s="182"/>
      <c r="Q101" s="182"/>
    </row>
    <row r="102" spans="1:17" ht="15.75" customHeight="1" x14ac:dyDescent="0.25">
      <c r="A102" s="182"/>
      <c r="B102" s="182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</row>
    <row r="103" spans="1:17" ht="15.75" customHeight="1" x14ac:dyDescent="0.25">
      <c r="A103" s="182"/>
      <c r="B103" s="182"/>
      <c r="C103" s="182"/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82"/>
      <c r="Q103" s="182"/>
    </row>
    <row r="104" spans="1:17" ht="15.75" customHeight="1" x14ac:dyDescent="0.25">
      <c r="A104" s="182"/>
      <c r="B104" s="182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82"/>
      <c r="Q104" s="182"/>
    </row>
    <row r="105" spans="1:17" ht="15.75" customHeight="1" x14ac:dyDescent="0.25">
      <c r="A105" s="182"/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  <c r="M105" s="182"/>
      <c r="N105" s="182"/>
      <c r="O105" s="182"/>
      <c r="P105" s="182"/>
      <c r="Q105" s="182"/>
    </row>
    <row r="106" spans="1:17" ht="15.75" customHeight="1" x14ac:dyDescent="0.25">
      <c r="A106" s="182"/>
      <c r="B106" s="182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82"/>
      <c r="O106" s="182"/>
      <c r="P106" s="182"/>
      <c r="Q106" s="182"/>
    </row>
    <row r="107" spans="1:17" ht="15.75" customHeight="1" x14ac:dyDescent="0.25">
      <c r="A107" s="182"/>
      <c r="B107" s="182"/>
      <c r="C107" s="182"/>
      <c r="D107" s="182"/>
      <c r="E107" s="182"/>
      <c r="F107" s="182"/>
      <c r="G107" s="182"/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</row>
    <row r="108" spans="1:17" ht="15.75" customHeight="1" x14ac:dyDescent="0.25">
      <c r="A108" s="182"/>
      <c r="B108" s="182"/>
      <c r="C108" s="182"/>
      <c r="D108" s="182"/>
      <c r="E108" s="182"/>
      <c r="F108" s="182"/>
      <c r="G108" s="182"/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</row>
    <row r="109" spans="1:17" ht="15.75" customHeight="1" x14ac:dyDescent="0.25">
      <c r="A109" s="182"/>
      <c r="B109" s="182"/>
      <c r="C109" s="182"/>
      <c r="D109" s="182"/>
      <c r="E109" s="182"/>
      <c r="F109" s="182"/>
      <c r="G109" s="182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</row>
    <row r="110" spans="1:17" ht="15.75" customHeight="1" x14ac:dyDescent="0.25">
      <c r="A110" s="182"/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</row>
    <row r="111" spans="1:17" ht="15.75" customHeight="1" x14ac:dyDescent="0.25">
      <c r="A111" s="182"/>
      <c r="B111" s="182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</row>
    <row r="112" spans="1:17" ht="15.75" customHeight="1" x14ac:dyDescent="0.25">
      <c r="A112" s="182"/>
      <c r="B112" s="182"/>
      <c r="C112" s="182"/>
      <c r="D112" s="182"/>
      <c r="E112" s="182"/>
      <c r="F112" s="182"/>
      <c r="G112" s="182"/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</row>
    <row r="113" spans="1:17" ht="15.75" customHeight="1" x14ac:dyDescent="0.25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</row>
    <row r="114" spans="1:17" ht="15.75" customHeight="1" x14ac:dyDescent="0.25">
      <c r="A114" s="182"/>
      <c r="B114" s="182"/>
      <c r="C114" s="182"/>
      <c r="D114" s="182"/>
      <c r="E114" s="182"/>
      <c r="F114" s="182"/>
      <c r="G114" s="182"/>
      <c r="H114" s="182"/>
      <c r="I114" s="182"/>
      <c r="J114" s="182"/>
      <c r="K114" s="182"/>
      <c r="L114" s="182"/>
      <c r="M114" s="182"/>
      <c r="N114" s="182"/>
      <c r="O114" s="182"/>
      <c r="P114" s="182"/>
      <c r="Q114" s="182"/>
    </row>
    <row r="115" spans="1:17" ht="15.75" customHeight="1" x14ac:dyDescent="0.25">
      <c r="A115" s="182"/>
      <c r="B115" s="182"/>
      <c r="C115" s="182"/>
      <c r="D115" s="182"/>
      <c r="E115" s="182"/>
      <c r="F115" s="182"/>
      <c r="G115" s="182"/>
      <c r="H115" s="182"/>
      <c r="I115" s="182"/>
      <c r="J115" s="182"/>
      <c r="K115" s="182"/>
      <c r="L115" s="182"/>
      <c r="M115" s="182"/>
      <c r="N115" s="182"/>
      <c r="O115" s="182"/>
      <c r="P115" s="182"/>
      <c r="Q115" s="182"/>
    </row>
    <row r="116" spans="1:17" ht="15.75" customHeight="1" x14ac:dyDescent="0.25">
      <c r="A116" s="182"/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182"/>
      <c r="Q116" s="182"/>
    </row>
    <row r="117" spans="1:17" ht="15.75" customHeight="1" x14ac:dyDescent="0.25">
      <c r="A117" s="182"/>
      <c r="B117" s="182"/>
      <c r="C117" s="182"/>
      <c r="D117" s="182"/>
      <c r="E117" s="182"/>
      <c r="F117" s="182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1:17" ht="15.75" customHeight="1" x14ac:dyDescent="0.25">
      <c r="A118" s="182"/>
      <c r="B118" s="182"/>
      <c r="C118" s="182"/>
      <c r="D118" s="182"/>
      <c r="E118" s="182"/>
      <c r="F118" s="182"/>
      <c r="G118" s="182"/>
      <c r="H118" s="182"/>
      <c r="I118" s="182"/>
      <c r="J118" s="182"/>
      <c r="K118" s="182"/>
      <c r="L118" s="182"/>
      <c r="M118" s="182"/>
      <c r="N118" s="182"/>
      <c r="O118" s="182"/>
      <c r="P118" s="182"/>
      <c r="Q118" s="182"/>
    </row>
    <row r="119" spans="1:17" ht="15.75" customHeight="1" x14ac:dyDescent="0.25">
      <c r="A119" s="182"/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1:17" ht="15.75" customHeight="1" x14ac:dyDescent="0.25">
      <c r="A120" s="182"/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  <c r="L120" s="182"/>
      <c r="M120" s="182"/>
      <c r="N120" s="182"/>
      <c r="O120" s="182"/>
      <c r="P120" s="182"/>
      <c r="Q120" s="182"/>
    </row>
    <row r="121" spans="1:17" ht="15.75" customHeight="1" x14ac:dyDescent="0.25">
      <c r="A121" s="182"/>
      <c r="B121" s="182"/>
      <c r="C121" s="182"/>
      <c r="D121" s="182"/>
      <c r="E121" s="182"/>
      <c r="F121" s="182"/>
      <c r="G121" s="182"/>
      <c r="H121" s="182"/>
      <c r="I121" s="182"/>
      <c r="J121" s="182"/>
      <c r="K121" s="182"/>
      <c r="L121" s="182"/>
      <c r="M121" s="182"/>
      <c r="N121" s="182"/>
      <c r="O121" s="182"/>
      <c r="P121" s="182"/>
      <c r="Q121" s="182"/>
    </row>
    <row r="122" spans="1:17" ht="15.75" customHeight="1" x14ac:dyDescent="0.25">
      <c r="A122" s="182"/>
      <c r="B122" s="182"/>
      <c r="C122" s="182"/>
      <c r="D122" s="182"/>
      <c r="E122" s="182"/>
      <c r="F122" s="182"/>
      <c r="G122" s="182"/>
      <c r="H122" s="182"/>
      <c r="I122" s="182"/>
      <c r="J122" s="182"/>
      <c r="K122" s="182"/>
      <c r="L122" s="182"/>
      <c r="M122" s="182"/>
      <c r="N122" s="182"/>
      <c r="O122" s="182"/>
      <c r="P122" s="182"/>
      <c r="Q122" s="182"/>
    </row>
    <row r="123" spans="1:17" ht="15.75" customHeight="1" x14ac:dyDescent="0.25">
      <c r="A123" s="182"/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</row>
    <row r="124" spans="1:17" ht="15.75" customHeight="1" x14ac:dyDescent="0.25">
      <c r="A124" s="182"/>
      <c r="B124" s="182"/>
      <c r="C124" s="182"/>
      <c r="D124" s="182"/>
      <c r="E124" s="182"/>
      <c r="F124" s="182"/>
      <c r="G124" s="182"/>
      <c r="H124" s="182"/>
      <c r="I124" s="182"/>
      <c r="J124" s="182"/>
      <c r="K124" s="182"/>
      <c r="L124" s="182"/>
      <c r="M124" s="182"/>
      <c r="N124" s="182"/>
      <c r="O124" s="182"/>
      <c r="P124" s="182"/>
      <c r="Q124" s="182"/>
    </row>
    <row r="125" spans="1:17" ht="15.75" customHeight="1" x14ac:dyDescent="0.25">
      <c r="A125" s="182"/>
      <c r="B125" s="182"/>
      <c r="C125" s="182"/>
      <c r="D125" s="182"/>
      <c r="E125" s="182"/>
      <c r="F125" s="182"/>
      <c r="G125" s="182"/>
      <c r="H125" s="182"/>
      <c r="I125" s="182"/>
      <c r="J125" s="182"/>
      <c r="K125" s="182"/>
      <c r="L125" s="182"/>
      <c r="M125" s="182"/>
      <c r="N125" s="182"/>
      <c r="O125" s="182"/>
      <c r="P125" s="182"/>
      <c r="Q125" s="182"/>
    </row>
    <row r="126" spans="1:17" ht="15.75" customHeight="1" x14ac:dyDescent="0.25">
      <c r="A126" s="182"/>
      <c r="B126" s="182"/>
      <c r="C126" s="182"/>
      <c r="D126" s="182"/>
      <c r="E126" s="182"/>
      <c r="F126" s="182"/>
      <c r="G126" s="182"/>
      <c r="H126" s="182"/>
      <c r="I126" s="182"/>
      <c r="J126" s="182"/>
      <c r="K126" s="182"/>
      <c r="L126" s="182"/>
      <c r="M126" s="182"/>
      <c r="N126" s="182"/>
      <c r="O126" s="182"/>
      <c r="P126" s="182"/>
      <c r="Q126" s="182"/>
    </row>
    <row r="127" spans="1:17" ht="15.75" customHeight="1" x14ac:dyDescent="0.25">
      <c r="A127" s="182"/>
      <c r="B127" s="182"/>
      <c r="C127" s="182"/>
      <c r="D127" s="182"/>
      <c r="E127" s="182"/>
      <c r="F127" s="182"/>
      <c r="G127" s="182"/>
      <c r="H127" s="182"/>
      <c r="I127" s="182"/>
      <c r="J127" s="182"/>
      <c r="K127" s="182"/>
      <c r="L127" s="182"/>
      <c r="M127" s="182"/>
      <c r="N127" s="182"/>
      <c r="O127" s="182"/>
      <c r="P127" s="182"/>
      <c r="Q127" s="182"/>
    </row>
    <row r="128" spans="1:17" ht="15.75" customHeight="1" x14ac:dyDescent="0.25">
      <c r="A128" s="182"/>
      <c r="B128" s="182"/>
      <c r="C128" s="182"/>
      <c r="D128" s="182"/>
      <c r="E128" s="182"/>
      <c r="F128" s="182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1:17" ht="15.75" customHeight="1" x14ac:dyDescent="0.25">
      <c r="A129" s="182"/>
      <c r="B129" s="182"/>
      <c r="C129" s="182"/>
      <c r="D129" s="182"/>
      <c r="E129" s="182"/>
      <c r="F129" s="182"/>
      <c r="G129" s="182"/>
      <c r="H129" s="182"/>
      <c r="I129" s="182"/>
      <c r="J129" s="182"/>
      <c r="K129" s="182"/>
      <c r="L129" s="182"/>
      <c r="M129" s="182"/>
      <c r="N129" s="182"/>
      <c r="O129" s="182"/>
      <c r="P129" s="182"/>
      <c r="Q129" s="182"/>
    </row>
    <row r="130" spans="1:17" ht="15.75" customHeight="1" x14ac:dyDescent="0.25">
      <c r="A130" s="182"/>
      <c r="B130" s="182"/>
      <c r="C130" s="182"/>
      <c r="D130" s="182"/>
      <c r="E130" s="182"/>
      <c r="F130" s="182"/>
      <c r="G130" s="182"/>
      <c r="H130" s="182"/>
      <c r="I130" s="182"/>
      <c r="J130" s="182"/>
      <c r="K130" s="182"/>
      <c r="L130" s="182"/>
      <c r="M130" s="182"/>
      <c r="N130" s="182"/>
      <c r="O130" s="182"/>
      <c r="P130" s="182"/>
      <c r="Q130" s="182"/>
    </row>
    <row r="131" spans="1:17" ht="15.75" customHeight="1" x14ac:dyDescent="0.25">
      <c r="A131" s="182"/>
      <c r="B131" s="182"/>
      <c r="C131" s="182"/>
      <c r="D131" s="182"/>
      <c r="E131" s="182"/>
      <c r="F131" s="182"/>
      <c r="G131" s="182"/>
      <c r="H131" s="182"/>
      <c r="I131" s="182"/>
      <c r="J131" s="182"/>
      <c r="K131" s="182"/>
      <c r="L131" s="182"/>
      <c r="M131" s="182"/>
      <c r="N131" s="182"/>
      <c r="O131" s="182"/>
      <c r="P131" s="182"/>
      <c r="Q131" s="182"/>
    </row>
    <row r="132" spans="1:17" ht="15.75" customHeight="1" x14ac:dyDescent="0.25">
      <c r="A132" s="182"/>
      <c r="B132" s="182"/>
      <c r="C132" s="182"/>
      <c r="D132" s="182"/>
      <c r="E132" s="182"/>
      <c r="F132" s="182"/>
      <c r="G132" s="182"/>
      <c r="H132" s="182"/>
      <c r="I132" s="182"/>
      <c r="J132" s="182"/>
      <c r="K132" s="182"/>
      <c r="L132" s="182"/>
      <c r="M132" s="182"/>
      <c r="N132" s="182"/>
      <c r="O132" s="182"/>
      <c r="P132" s="182"/>
      <c r="Q132" s="182"/>
    </row>
    <row r="133" spans="1:17" ht="15.75" customHeight="1" x14ac:dyDescent="0.25">
      <c r="A133" s="182"/>
      <c r="B133" s="182"/>
      <c r="C133" s="182"/>
      <c r="D133" s="182"/>
      <c r="E133" s="182"/>
      <c r="F133" s="182"/>
      <c r="G133" s="182"/>
      <c r="H133" s="182"/>
      <c r="I133" s="182"/>
      <c r="J133" s="182"/>
      <c r="K133" s="182"/>
      <c r="L133" s="182"/>
      <c r="M133" s="182"/>
      <c r="N133" s="182"/>
      <c r="O133" s="182"/>
      <c r="P133" s="182"/>
      <c r="Q133" s="182"/>
    </row>
    <row r="134" spans="1:17" ht="15.75" customHeight="1" x14ac:dyDescent="0.25">
      <c r="A134" s="182"/>
      <c r="B134" s="182"/>
      <c r="C134" s="182"/>
      <c r="D134" s="182"/>
      <c r="E134" s="182"/>
      <c r="F134" s="182"/>
      <c r="G134" s="182"/>
      <c r="H134" s="182"/>
      <c r="I134" s="182"/>
      <c r="J134" s="182"/>
      <c r="K134" s="182"/>
      <c r="L134" s="182"/>
      <c r="M134" s="182"/>
      <c r="N134" s="182"/>
      <c r="O134" s="182"/>
      <c r="P134" s="182"/>
      <c r="Q134" s="182"/>
    </row>
    <row r="135" spans="1:17" ht="15.75" customHeight="1" x14ac:dyDescent="0.25">
      <c r="A135" s="182"/>
      <c r="B135" s="182"/>
      <c r="C135" s="182"/>
      <c r="D135" s="182"/>
      <c r="E135" s="182"/>
      <c r="F135" s="182"/>
      <c r="G135" s="182"/>
      <c r="H135" s="182"/>
      <c r="I135" s="182"/>
      <c r="J135" s="182"/>
      <c r="K135" s="182"/>
      <c r="L135" s="182"/>
      <c r="M135" s="182"/>
      <c r="N135" s="182"/>
      <c r="O135" s="182"/>
      <c r="P135" s="182"/>
      <c r="Q135" s="182"/>
    </row>
    <row r="136" spans="1:17" ht="15.75" customHeight="1" x14ac:dyDescent="0.25">
      <c r="A136" s="182"/>
      <c r="B136" s="182"/>
      <c r="C136" s="182"/>
      <c r="D136" s="182"/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2"/>
      <c r="Q136" s="182"/>
    </row>
    <row r="137" spans="1:17" ht="15.75" customHeight="1" x14ac:dyDescent="0.25">
      <c r="A137" s="182"/>
      <c r="B137" s="182"/>
      <c r="C137" s="182"/>
      <c r="D137" s="182"/>
      <c r="E137" s="182"/>
      <c r="F137" s="182"/>
      <c r="G137" s="182"/>
      <c r="H137" s="182"/>
      <c r="I137" s="182"/>
      <c r="J137" s="182"/>
      <c r="K137" s="182"/>
      <c r="L137" s="182"/>
      <c r="M137" s="182"/>
      <c r="N137" s="182"/>
      <c r="O137" s="182"/>
      <c r="P137" s="182"/>
      <c r="Q137" s="182"/>
    </row>
    <row r="138" spans="1:17" ht="15.75" customHeight="1" x14ac:dyDescent="0.25">
      <c r="A138" s="182"/>
      <c r="B138" s="182"/>
      <c r="C138" s="182"/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182"/>
      <c r="Q138" s="182"/>
    </row>
    <row r="139" spans="1:17" ht="15.75" customHeight="1" x14ac:dyDescent="0.25">
      <c r="A139" s="182"/>
      <c r="B139" s="182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182"/>
      <c r="Q139" s="182"/>
    </row>
    <row r="140" spans="1:17" ht="15.75" customHeight="1" x14ac:dyDescent="0.25">
      <c r="A140" s="182"/>
      <c r="B140" s="182"/>
      <c r="C140" s="182"/>
      <c r="D140" s="182"/>
      <c r="E140" s="182"/>
      <c r="F140" s="182"/>
      <c r="G140" s="182"/>
      <c r="H140" s="182"/>
      <c r="I140" s="182"/>
      <c r="J140" s="182"/>
      <c r="K140" s="182"/>
      <c r="L140" s="182"/>
      <c r="M140" s="182"/>
      <c r="N140" s="182"/>
      <c r="O140" s="182"/>
      <c r="P140" s="182"/>
      <c r="Q140" s="182"/>
    </row>
    <row r="141" spans="1:17" ht="15.75" customHeight="1" x14ac:dyDescent="0.25">
      <c r="A141" s="182"/>
      <c r="B141" s="182"/>
      <c r="C141" s="182"/>
      <c r="D141" s="182"/>
      <c r="E141" s="182"/>
      <c r="F141" s="182"/>
      <c r="G141" s="182"/>
      <c r="H141" s="182"/>
      <c r="I141" s="182"/>
      <c r="J141" s="182"/>
      <c r="K141" s="182"/>
      <c r="L141" s="182"/>
      <c r="M141" s="182"/>
      <c r="N141" s="182"/>
      <c r="O141" s="182"/>
      <c r="P141" s="182"/>
      <c r="Q141" s="182"/>
    </row>
    <row r="142" spans="1:17" ht="15.75" customHeight="1" x14ac:dyDescent="0.25">
      <c r="A142" s="182"/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</row>
    <row r="143" spans="1:17" ht="15.75" customHeight="1" x14ac:dyDescent="0.25">
      <c r="A143" s="182"/>
      <c r="B143" s="182"/>
      <c r="C143" s="182"/>
      <c r="D143" s="182"/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2"/>
      <c r="Q143" s="182"/>
    </row>
    <row r="144" spans="1:17" ht="15.75" customHeight="1" x14ac:dyDescent="0.25">
      <c r="A144" s="182"/>
      <c r="B144" s="182"/>
      <c r="C144" s="182"/>
      <c r="D144" s="182"/>
      <c r="E144" s="182"/>
      <c r="F144" s="182"/>
      <c r="G144" s="182"/>
      <c r="H144" s="182"/>
      <c r="I144" s="182"/>
      <c r="J144" s="182"/>
      <c r="K144" s="182"/>
      <c r="L144" s="182"/>
      <c r="M144" s="182"/>
      <c r="N144" s="182"/>
      <c r="O144" s="182"/>
      <c r="P144" s="182"/>
      <c r="Q144" s="182"/>
    </row>
    <row r="145" spans="1:17" ht="15.75" customHeight="1" x14ac:dyDescent="0.25">
      <c r="A145" s="182"/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</row>
    <row r="146" spans="1:17" ht="15.75" customHeight="1" x14ac:dyDescent="0.25">
      <c r="A146" s="182"/>
      <c r="B146" s="182"/>
      <c r="C146" s="182"/>
      <c r="D146" s="182"/>
      <c r="E146" s="182"/>
      <c r="F146" s="182"/>
      <c r="G146" s="182"/>
      <c r="H146" s="182"/>
      <c r="I146" s="182"/>
      <c r="J146" s="182"/>
      <c r="K146" s="182"/>
      <c r="L146" s="182"/>
      <c r="M146" s="182"/>
      <c r="N146" s="182"/>
      <c r="O146" s="182"/>
      <c r="P146" s="182"/>
      <c r="Q146" s="182"/>
    </row>
    <row r="147" spans="1:17" ht="15.75" customHeight="1" x14ac:dyDescent="0.25">
      <c r="A147" s="182"/>
      <c r="B147" s="182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82"/>
      <c r="Q147" s="182"/>
    </row>
    <row r="148" spans="1:17" ht="15.75" customHeight="1" x14ac:dyDescent="0.25">
      <c r="A148" s="182"/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1:17" ht="15.75" customHeight="1" x14ac:dyDescent="0.25">
      <c r="A149" s="182"/>
      <c r="B149" s="182"/>
      <c r="C149" s="182"/>
      <c r="D149" s="182"/>
      <c r="E149" s="182"/>
      <c r="F149" s="182"/>
      <c r="G149" s="182"/>
      <c r="H149" s="182"/>
      <c r="I149" s="182"/>
      <c r="J149" s="182"/>
      <c r="K149" s="182"/>
      <c r="L149" s="182"/>
      <c r="M149" s="182"/>
      <c r="N149" s="182"/>
      <c r="O149" s="182"/>
      <c r="P149" s="182"/>
      <c r="Q149" s="182"/>
    </row>
    <row r="150" spans="1:17" ht="15.75" customHeight="1" x14ac:dyDescent="0.25">
      <c r="A150" s="182"/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</row>
    <row r="151" spans="1:17" ht="15.75" customHeight="1" x14ac:dyDescent="0.25">
      <c r="A151" s="182"/>
      <c r="B151" s="182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</row>
    <row r="152" spans="1:17" ht="15.75" customHeight="1" x14ac:dyDescent="0.25">
      <c r="A152" s="182"/>
      <c r="B152" s="182"/>
      <c r="C152" s="182"/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</row>
    <row r="153" spans="1:17" ht="15.75" customHeight="1" x14ac:dyDescent="0.25">
      <c r="A153" s="182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</row>
    <row r="154" spans="1:17" ht="15.75" customHeight="1" x14ac:dyDescent="0.25">
      <c r="A154" s="182"/>
      <c r="B154" s="182"/>
      <c r="C154" s="182"/>
      <c r="D154" s="182"/>
      <c r="E154" s="182"/>
      <c r="F154" s="182"/>
      <c r="G154" s="182"/>
      <c r="H154" s="182"/>
      <c r="I154" s="182"/>
      <c r="J154" s="182"/>
      <c r="K154" s="182"/>
      <c r="L154" s="182"/>
      <c r="M154" s="182"/>
      <c r="N154" s="182"/>
      <c r="O154" s="182"/>
      <c r="P154" s="182"/>
      <c r="Q154" s="182"/>
    </row>
    <row r="155" spans="1:17" ht="15.75" customHeight="1" x14ac:dyDescent="0.25">
      <c r="A155" s="182"/>
      <c r="B155" s="182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82"/>
      <c r="Q155" s="182"/>
    </row>
    <row r="156" spans="1:17" ht="15.75" customHeight="1" x14ac:dyDescent="0.25">
      <c r="A156" s="182"/>
      <c r="B156" s="182"/>
      <c r="C156" s="182"/>
      <c r="D156" s="182"/>
      <c r="E156" s="182"/>
      <c r="F156" s="182"/>
      <c r="G156" s="182"/>
      <c r="H156" s="182"/>
      <c r="I156" s="182"/>
      <c r="J156" s="182"/>
      <c r="K156" s="182"/>
      <c r="L156" s="182"/>
      <c r="M156" s="182"/>
      <c r="N156" s="182"/>
      <c r="O156" s="182"/>
      <c r="P156" s="182"/>
      <c r="Q156" s="182"/>
    </row>
    <row r="157" spans="1:17" ht="15.75" customHeight="1" x14ac:dyDescent="0.25">
      <c r="A157" s="182"/>
      <c r="B157" s="182"/>
      <c r="C157" s="182"/>
      <c r="D157" s="182"/>
      <c r="E157" s="182"/>
      <c r="F157" s="182"/>
      <c r="G157" s="182"/>
      <c r="H157" s="182"/>
      <c r="I157" s="182"/>
      <c r="J157" s="182"/>
      <c r="K157" s="182"/>
      <c r="L157" s="182"/>
      <c r="M157" s="182"/>
      <c r="N157" s="182"/>
      <c r="O157" s="182"/>
      <c r="P157" s="182"/>
      <c r="Q157" s="182"/>
    </row>
    <row r="158" spans="1:17" ht="15.75" customHeight="1" x14ac:dyDescent="0.25">
      <c r="A158" s="182"/>
      <c r="B158" s="182"/>
      <c r="C158" s="182"/>
      <c r="D158" s="182"/>
      <c r="E158" s="182"/>
      <c r="F158" s="182"/>
      <c r="G158" s="182"/>
      <c r="H158" s="182"/>
      <c r="I158" s="182"/>
      <c r="J158" s="182"/>
      <c r="K158" s="182"/>
      <c r="L158" s="182"/>
      <c r="M158" s="182"/>
      <c r="N158" s="182"/>
      <c r="O158" s="182"/>
      <c r="P158" s="182"/>
      <c r="Q158" s="182"/>
    </row>
    <row r="159" spans="1:17" ht="15.75" customHeight="1" x14ac:dyDescent="0.25">
      <c r="A159" s="182"/>
      <c r="B159" s="182"/>
      <c r="C159" s="182"/>
      <c r="D159" s="182"/>
      <c r="E159" s="182"/>
      <c r="F159" s="182"/>
      <c r="G159" s="182"/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</row>
    <row r="160" spans="1:17" ht="15.75" customHeight="1" x14ac:dyDescent="0.25">
      <c r="A160" s="182"/>
      <c r="B160" s="182"/>
      <c r="C160" s="182"/>
      <c r="D160" s="182"/>
      <c r="E160" s="182"/>
      <c r="F160" s="182"/>
      <c r="G160" s="182"/>
      <c r="H160" s="182"/>
      <c r="I160" s="182"/>
      <c r="J160" s="182"/>
      <c r="K160" s="182"/>
      <c r="L160" s="182"/>
      <c r="M160" s="182"/>
      <c r="N160" s="182"/>
      <c r="O160" s="182"/>
      <c r="P160" s="182"/>
      <c r="Q160" s="182"/>
    </row>
    <row r="161" spans="1:17" ht="15.75" customHeight="1" x14ac:dyDescent="0.25">
      <c r="A161" s="182"/>
      <c r="B161" s="182"/>
      <c r="C161" s="182"/>
      <c r="D161" s="182"/>
      <c r="E161" s="182"/>
      <c r="F161" s="182"/>
      <c r="G161" s="182"/>
      <c r="H161" s="182"/>
      <c r="I161" s="182"/>
      <c r="J161" s="182"/>
      <c r="K161" s="182"/>
      <c r="L161" s="182"/>
      <c r="M161" s="182"/>
      <c r="N161" s="182"/>
      <c r="O161" s="182"/>
      <c r="P161" s="182"/>
      <c r="Q161" s="182"/>
    </row>
    <row r="162" spans="1:17" ht="15.75" customHeight="1" x14ac:dyDescent="0.25">
      <c r="A162" s="182"/>
      <c r="B162" s="182"/>
      <c r="C162" s="182"/>
      <c r="D162" s="182"/>
      <c r="E162" s="182"/>
      <c r="F162" s="182"/>
      <c r="G162" s="182"/>
      <c r="H162" s="182"/>
      <c r="I162" s="182"/>
      <c r="J162" s="182"/>
      <c r="K162" s="182"/>
      <c r="L162" s="182"/>
      <c r="M162" s="182"/>
      <c r="N162" s="182"/>
      <c r="O162" s="182"/>
      <c r="P162" s="182"/>
      <c r="Q162" s="182"/>
    </row>
    <row r="163" spans="1:17" ht="15.75" customHeight="1" x14ac:dyDescent="0.25">
      <c r="A163" s="182"/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  <c r="L163" s="182"/>
      <c r="M163" s="182"/>
      <c r="N163" s="182"/>
      <c r="O163" s="182"/>
      <c r="P163" s="182"/>
      <c r="Q163" s="182"/>
    </row>
    <row r="164" spans="1:17" ht="15.75" customHeight="1" x14ac:dyDescent="0.25">
      <c r="A164" s="182"/>
      <c r="B164" s="182"/>
      <c r="C164" s="182"/>
      <c r="D164" s="182"/>
      <c r="E164" s="182"/>
      <c r="F164" s="182"/>
      <c r="G164" s="182"/>
      <c r="H164" s="182"/>
      <c r="I164" s="182"/>
      <c r="J164" s="182"/>
      <c r="K164" s="182"/>
      <c r="L164" s="182"/>
      <c r="M164" s="182"/>
      <c r="N164" s="182"/>
      <c r="O164" s="182"/>
      <c r="P164" s="182"/>
      <c r="Q164" s="182"/>
    </row>
    <row r="165" spans="1:17" ht="15.75" customHeight="1" x14ac:dyDescent="0.25">
      <c r="A165" s="182"/>
      <c r="B165" s="182"/>
      <c r="C165" s="182"/>
      <c r="D165" s="182"/>
      <c r="E165" s="182"/>
      <c r="F165" s="182"/>
      <c r="G165" s="182"/>
      <c r="H165" s="182"/>
      <c r="I165" s="182"/>
      <c r="J165" s="182"/>
      <c r="K165" s="182"/>
      <c r="L165" s="182"/>
      <c r="M165" s="182"/>
      <c r="N165" s="182"/>
      <c r="O165" s="182"/>
      <c r="P165" s="182"/>
      <c r="Q165" s="182"/>
    </row>
    <row r="166" spans="1:17" ht="15.75" customHeight="1" x14ac:dyDescent="0.25">
      <c r="A166" s="182"/>
      <c r="B166" s="18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82"/>
      <c r="N166" s="182"/>
      <c r="O166" s="182"/>
      <c r="P166" s="182"/>
      <c r="Q166" s="182"/>
    </row>
    <row r="167" spans="1:17" ht="15.75" customHeight="1" x14ac:dyDescent="0.25">
      <c r="A167" s="182"/>
      <c r="B167" s="182"/>
      <c r="C167" s="182"/>
      <c r="D167" s="182"/>
      <c r="E167" s="182"/>
      <c r="F167" s="182"/>
      <c r="G167" s="182"/>
      <c r="H167" s="182"/>
      <c r="I167" s="182"/>
      <c r="J167" s="182"/>
      <c r="K167" s="182"/>
      <c r="L167" s="182"/>
      <c r="M167" s="182"/>
      <c r="N167" s="182"/>
      <c r="O167" s="182"/>
      <c r="P167" s="182"/>
      <c r="Q167" s="182"/>
    </row>
    <row r="168" spans="1:17" ht="15.75" customHeight="1" x14ac:dyDescent="0.25">
      <c r="A168" s="182"/>
      <c r="B168" s="182"/>
      <c r="C168" s="182"/>
      <c r="D168" s="182"/>
      <c r="E168" s="182"/>
      <c r="F168" s="182"/>
      <c r="G168" s="182"/>
      <c r="H168" s="182"/>
      <c r="I168" s="182"/>
      <c r="J168" s="182"/>
      <c r="K168" s="182"/>
      <c r="L168" s="182"/>
      <c r="M168" s="182"/>
      <c r="N168" s="182"/>
      <c r="O168" s="182"/>
      <c r="P168" s="182"/>
      <c r="Q168" s="182"/>
    </row>
    <row r="169" spans="1:17" ht="15.75" customHeight="1" x14ac:dyDescent="0.25">
      <c r="A169" s="182"/>
      <c r="B169" s="182"/>
      <c r="C169" s="182"/>
      <c r="D169" s="182"/>
      <c r="E169" s="182"/>
      <c r="F169" s="182"/>
      <c r="G169" s="182"/>
      <c r="H169" s="182"/>
      <c r="I169" s="182"/>
      <c r="J169" s="182"/>
      <c r="K169" s="182"/>
      <c r="L169" s="182"/>
      <c r="M169" s="182"/>
      <c r="N169" s="182"/>
      <c r="O169" s="182"/>
      <c r="P169" s="182"/>
      <c r="Q169" s="182"/>
    </row>
    <row r="170" spans="1:17" ht="15.75" customHeight="1" x14ac:dyDescent="0.25">
      <c r="A170" s="182"/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1:17" ht="15.75" customHeight="1" x14ac:dyDescent="0.25">
      <c r="A171" s="182"/>
      <c r="B171" s="182"/>
      <c r="C171" s="182"/>
      <c r="D171" s="182"/>
      <c r="E171" s="182"/>
      <c r="F171" s="182"/>
      <c r="G171" s="182"/>
      <c r="H171" s="182"/>
      <c r="I171" s="182"/>
      <c r="J171" s="182"/>
      <c r="K171" s="182"/>
      <c r="L171" s="182"/>
      <c r="M171" s="182"/>
      <c r="N171" s="182"/>
      <c r="O171" s="182"/>
      <c r="P171" s="182"/>
      <c r="Q171" s="182"/>
    </row>
    <row r="172" spans="1:17" ht="15.75" customHeight="1" x14ac:dyDescent="0.25">
      <c r="A172" s="182"/>
      <c r="B172" s="182"/>
      <c r="C172" s="182"/>
      <c r="D172" s="182"/>
      <c r="E172" s="182"/>
      <c r="F172" s="182"/>
      <c r="G172" s="182"/>
      <c r="H172" s="182"/>
      <c r="I172" s="182"/>
      <c r="J172" s="182"/>
      <c r="K172" s="182"/>
      <c r="L172" s="182"/>
      <c r="M172" s="182"/>
      <c r="N172" s="182"/>
      <c r="O172" s="182"/>
      <c r="P172" s="182"/>
      <c r="Q172" s="182"/>
    </row>
    <row r="173" spans="1:17" ht="15.75" customHeight="1" x14ac:dyDescent="0.25">
      <c r="A173" s="182"/>
      <c r="B173" s="182"/>
      <c r="C173" s="182"/>
      <c r="D173" s="182"/>
      <c r="E173" s="182"/>
      <c r="F173" s="182"/>
      <c r="G173" s="182"/>
      <c r="H173" s="182"/>
      <c r="I173" s="182"/>
      <c r="J173" s="182"/>
      <c r="K173" s="182"/>
      <c r="L173" s="182"/>
      <c r="M173" s="182"/>
      <c r="N173" s="182"/>
      <c r="O173" s="182"/>
      <c r="P173" s="182"/>
      <c r="Q173" s="182"/>
    </row>
    <row r="174" spans="1:17" ht="15.75" customHeight="1" x14ac:dyDescent="0.25">
      <c r="A174" s="182"/>
      <c r="B174" s="182"/>
      <c r="C174" s="182"/>
      <c r="D174" s="182"/>
      <c r="E174" s="182"/>
      <c r="F174" s="182"/>
      <c r="G174" s="182"/>
      <c r="H174" s="182"/>
      <c r="I174" s="182"/>
      <c r="J174" s="182"/>
      <c r="K174" s="182"/>
      <c r="L174" s="182"/>
      <c r="M174" s="182"/>
      <c r="N174" s="182"/>
      <c r="O174" s="182"/>
      <c r="P174" s="182"/>
      <c r="Q174" s="182"/>
    </row>
    <row r="175" spans="1:17" ht="15.75" customHeight="1" x14ac:dyDescent="0.25">
      <c r="A175" s="182"/>
      <c r="B175" s="182"/>
      <c r="C175" s="182"/>
      <c r="D175" s="182"/>
      <c r="E175" s="182"/>
      <c r="F175" s="182"/>
      <c r="G175" s="182"/>
      <c r="H175" s="182"/>
      <c r="I175" s="182"/>
      <c r="J175" s="182"/>
      <c r="K175" s="182"/>
      <c r="L175" s="182"/>
      <c r="M175" s="182"/>
      <c r="N175" s="182"/>
      <c r="O175" s="182"/>
      <c r="P175" s="182"/>
      <c r="Q175" s="182"/>
    </row>
    <row r="176" spans="1:17" ht="15.75" customHeight="1" x14ac:dyDescent="0.25">
      <c r="A176" s="182"/>
      <c r="B176" s="182"/>
      <c r="C176" s="182"/>
      <c r="D176" s="182"/>
      <c r="E176" s="182"/>
      <c r="F176" s="182"/>
      <c r="G176" s="182"/>
      <c r="H176" s="182"/>
      <c r="I176" s="182"/>
      <c r="J176" s="182"/>
      <c r="K176" s="182"/>
      <c r="L176" s="182"/>
      <c r="M176" s="182"/>
      <c r="N176" s="182"/>
      <c r="O176" s="182"/>
      <c r="P176" s="182"/>
      <c r="Q176" s="182"/>
    </row>
    <row r="177" spans="1:17" ht="15.75" customHeight="1" x14ac:dyDescent="0.25">
      <c r="A177" s="182"/>
      <c r="B177" s="182"/>
      <c r="C177" s="182"/>
      <c r="D177" s="182"/>
      <c r="E177" s="182"/>
      <c r="F177" s="182"/>
      <c r="G177" s="182"/>
      <c r="H177" s="182"/>
      <c r="I177" s="182"/>
      <c r="J177" s="182"/>
      <c r="K177" s="182"/>
      <c r="L177" s="182"/>
      <c r="M177" s="182"/>
      <c r="N177" s="182"/>
      <c r="O177" s="182"/>
      <c r="P177" s="182"/>
      <c r="Q177" s="182"/>
    </row>
    <row r="178" spans="1:17" ht="15.75" customHeight="1" x14ac:dyDescent="0.25">
      <c r="A178" s="182"/>
      <c r="B178" s="182"/>
      <c r="C178" s="182"/>
      <c r="D178" s="182"/>
      <c r="E178" s="182"/>
      <c r="F178" s="182"/>
      <c r="G178" s="182"/>
      <c r="H178" s="182"/>
      <c r="I178" s="182"/>
      <c r="J178" s="182"/>
      <c r="K178" s="182"/>
      <c r="L178" s="182"/>
      <c r="M178" s="182"/>
      <c r="N178" s="182"/>
      <c r="O178" s="182"/>
      <c r="P178" s="182"/>
      <c r="Q178" s="182"/>
    </row>
    <row r="179" spans="1:17" ht="15.75" customHeight="1" x14ac:dyDescent="0.25">
      <c r="A179" s="182"/>
      <c r="B179" s="182"/>
      <c r="C179" s="182"/>
      <c r="D179" s="182"/>
      <c r="E179" s="182"/>
      <c r="F179" s="182"/>
      <c r="G179" s="182"/>
      <c r="H179" s="182"/>
      <c r="I179" s="182"/>
      <c r="J179" s="182"/>
      <c r="K179" s="182"/>
      <c r="L179" s="182"/>
      <c r="M179" s="182"/>
      <c r="N179" s="182"/>
      <c r="O179" s="182"/>
      <c r="P179" s="182"/>
      <c r="Q179" s="182"/>
    </row>
    <row r="180" spans="1:17" ht="15.75" customHeight="1" x14ac:dyDescent="0.25">
      <c r="A180" s="182"/>
      <c r="B180" s="182"/>
      <c r="C180" s="182"/>
      <c r="D180" s="182"/>
      <c r="E180" s="182"/>
      <c r="F180" s="182"/>
      <c r="G180" s="182"/>
      <c r="H180" s="182"/>
      <c r="I180" s="182"/>
      <c r="J180" s="182"/>
      <c r="K180" s="182"/>
      <c r="L180" s="182"/>
      <c r="M180" s="182"/>
      <c r="N180" s="182"/>
      <c r="O180" s="182"/>
      <c r="P180" s="182"/>
      <c r="Q180" s="182"/>
    </row>
    <row r="181" spans="1:17" ht="15.75" customHeight="1" x14ac:dyDescent="0.25">
      <c r="A181" s="182"/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</row>
    <row r="182" spans="1:17" ht="15.75" customHeight="1" x14ac:dyDescent="0.25">
      <c r="A182" s="182"/>
      <c r="B182" s="182"/>
      <c r="C182" s="182"/>
      <c r="D182" s="182"/>
      <c r="E182" s="182"/>
      <c r="F182" s="182"/>
      <c r="G182" s="182"/>
      <c r="H182" s="182"/>
      <c r="I182" s="182"/>
      <c r="J182" s="182"/>
      <c r="K182" s="182"/>
      <c r="L182" s="182"/>
      <c r="M182" s="182"/>
      <c r="N182" s="182"/>
      <c r="O182" s="182"/>
      <c r="P182" s="182"/>
      <c r="Q182" s="182"/>
    </row>
    <row r="183" spans="1:17" ht="15.75" customHeight="1" x14ac:dyDescent="0.25">
      <c r="A183" s="182"/>
      <c r="B183" s="182"/>
      <c r="C183" s="182"/>
      <c r="D183" s="182"/>
      <c r="E183" s="182"/>
      <c r="F183" s="182"/>
      <c r="G183" s="182"/>
      <c r="H183" s="182"/>
      <c r="I183" s="182"/>
      <c r="J183" s="182"/>
      <c r="K183" s="182"/>
      <c r="L183" s="182"/>
      <c r="M183" s="182"/>
      <c r="N183" s="182"/>
      <c r="O183" s="182"/>
      <c r="P183" s="182"/>
      <c r="Q183" s="182"/>
    </row>
    <row r="184" spans="1:17" ht="15.75" customHeight="1" x14ac:dyDescent="0.25">
      <c r="A184" s="182"/>
      <c r="B184" s="182"/>
      <c r="C184" s="182"/>
      <c r="D184" s="182"/>
      <c r="E184" s="182"/>
      <c r="F184" s="182"/>
      <c r="G184" s="182"/>
      <c r="H184" s="182"/>
      <c r="I184" s="182"/>
      <c r="J184" s="182"/>
      <c r="K184" s="182"/>
      <c r="L184" s="182"/>
      <c r="M184" s="182"/>
      <c r="N184" s="182"/>
      <c r="O184" s="182"/>
      <c r="P184" s="182"/>
      <c r="Q184" s="182"/>
    </row>
    <row r="185" spans="1:17" ht="15.75" customHeight="1" x14ac:dyDescent="0.25">
      <c r="A185" s="182"/>
      <c r="B185" s="182"/>
      <c r="C185" s="182"/>
      <c r="D185" s="182"/>
      <c r="E185" s="182"/>
      <c r="F185" s="182"/>
      <c r="G185" s="182"/>
      <c r="H185" s="182"/>
      <c r="I185" s="182"/>
      <c r="J185" s="182"/>
      <c r="K185" s="182"/>
      <c r="L185" s="182"/>
      <c r="M185" s="182"/>
      <c r="N185" s="182"/>
      <c r="O185" s="182"/>
      <c r="P185" s="182"/>
      <c r="Q185" s="182"/>
    </row>
    <row r="186" spans="1:17" ht="15.75" customHeight="1" x14ac:dyDescent="0.25">
      <c r="A186" s="182"/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</row>
    <row r="187" spans="1:17" ht="15.75" customHeight="1" x14ac:dyDescent="0.25">
      <c r="A187" s="182"/>
      <c r="B187" s="182"/>
      <c r="C187" s="182"/>
      <c r="D187" s="182"/>
      <c r="E187" s="182"/>
      <c r="F187" s="182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1:17" ht="15.75" customHeight="1" x14ac:dyDescent="0.25">
      <c r="A188" s="182"/>
      <c r="B188" s="182"/>
      <c r="C188" s="182"/>
      <c r="D188" s="182"/>
      <c r="E188" s="182"/>
      <c r="F188" s="182"/>
      <c r="G188" s="182"/>
      <c r="H188" s="182"/>
      <c r="I188" s="182"/>
      <c r="J188" s="182"/>
      <c r="K188" s="182"/>
      <c r="L188" s="182"/>
      <c r="M188" s="182"/>
      <c r="N188" s="182"/>
      <c r="O188" s="182"/>
      <c r="P188" s="182"/>
      <c r="Q188" s="182"/>
    </row>
    <row r="189" spans="1:17" ht="15.75" customHeight="1" x14ac:dyDescent="0.25">
      <c r="A189" s="182"/>
      <c r="B189" s="182"/>
      <c r="C189" s="182"/>
      <c r="D189" s="182"/>
      <c r="E189" s="182"/>
      <c r="F189" s="182"/>
      <c r="G189" s="182"/>
      <c r="H189" s="182"/>
      <c r="I189" s="182"/>
      <c r="J189" s="182"/>
      <c r="K189" s="182"/>
      <c r="L189" s="182"/>
      <c r="M189" s="182"/>
      <c r="N189" s="182"/>
      <c r="O189" s="182"/>
      <c r="P189" s="182"/>
      <c r="Q189" s="182"/>
    </row>
    <row r="190" spans="1:17" ht="15.75" customHeight="1" x14ac:dyDescent="0.25">
      <c r="A190" s="182"/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</row>
    <row r="191" spans="1:17" ht="15.75" customHeight="1" x14ac:dyDescent="0.25">
      <c r="A191" s="182"/>
      <c r="B191" s="182"/>
      <c r="C191" s="182"/>
      <c r="D191" s="182"/>
      <c r="E191" s="182"/>
      <c r="F191" s="182"/>
      <c r="G191" s="182"/>
      <c r="H191" s="182"/>
      <c r="I191" s="182"/>
      <c r="J191" s="182"/>
      <c r="K191" s="182"/>
      <c r="L191" s="182"/>
      <c r="M191" s="182"/>
      <c r="N191" s="182"/>
      <c r="O191" s="182"/>
      <c r="P191" s="182"/>
      <c r="Q191" s="182"/>
    </row>
    <row r="192" spans="1:17" ht="15.75" customHeight="1" x14ac:dyDescent="0.25">
      <c r="A192" s="182"/>
      <c r="B192" s="182"/>
      <c r="C192" s="182"/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</row>
    <row r="193" spans="1:17" ht="15.75" customHeight="1" x14ac:dyDescent="0.25">
      <c r="A193" s="182"/>
      <c r="B193" s="182"/>
      <c r="C193" s="182"/>
      <c r="D193" s="182"/>
      <c r="E193" s="182"/>
      <c r="F193" s="182"/>
      <c r="G193" s="182"/>
      <c r="H193" s="182"/>
      <c r="I193" s="182"/>
      <c r="J193" s="182"/>
      <c r="K193" s="182"/>
      <c r="L193" s="182"/>
      <c r="M193" s="182"/>
      <c r="N193" s="182"/>
      <c r="O193" s="182"/>
      <c r="P193" s="182"/>
      <c r="Q193" s="182"/>
    </row>
    <row r="194" spans="1:17" ht="15.75" customHeight="1" x14ac:dyDescent="0.25">
      <c r="A194" s="182"/>
      <c r="B194" s="182"/>
      <c r="C194" s="182"/>
      <c r="D194" s="182"/>
      <c r="E194" s="182"/>
      <c r="F194" s="182"/>
      <c r="G194" s="182"/>
      <c r="H194" s="182"/>
      <c r="I194" s="182"/>
      <c r="J194" s="182"/>
      <c r="K194" s="182"/>
      <c r="L194" s="182"/>
      <c r="M194" s="182"/>
      <c r="N194" s="182"/>
      <c r="O194" s="182"/>
      <c r="P194" s="182"/>
      <c r="Q194" s="182"/>
    </row>
    <row r="195" spans="1:17" ht="15.75" customHeight="1" x14ac:dyDescent="0.25">
      <c r="A195" s="182"/>
      <c r="B195" s="182"/>
      <c r="C195" s="182"/>
      <c r="D195" s="182"/>
      <c r="E195" s="182"/>
      <c r="F195" s="182"/>
      <c r="G195" s="182"/>
      <c r="H195" s="182"/>
      <c r="I195" s="182"/>
      <c r="J195" s="182"/>
      <c r="K195" s="182"/>
      <c r="L195" s="182"/>
      <c r="M195" s="182"/>
      <c r="N195" s="182"/>
      <c r="O195" s="182"/>
      <c r="P195" s="182"/>
      <c r="Q195" s="182"/>
    </row>
    <row r="196" spans="1:17" ht="15.75" customHeight="1" x14ac:dyDescent="0.25">
      <c r="A196" s="182"/>
      <c r="B196" s="182"/>
      <c r="C196" s="182"/>
      <c r="D196" s="182"/>
      <c r="E196" s="182"/>
      <c r="F196" s="182"/>
      <c r="G196" s="182"/>
      <c r="H196" s="182"/>
      <c r="I196" s="182"/>
      <c r="J196" s="182"/>
      <c r="K196" s="182"/>
      <c r="L196" s="182"/>
      <c r="M196" s="182"/>
      <c r="N196" s="182"/>
      <c r="O196" s="182"/>
      <c r="P196" s="182"/>
      <c r="Q196" s="182"/>
    </row>
    <row r="197" spans="1:17" ht="15.75" customHeight="1" x14ac:dyDescent="0.25">
      <c r="A197" s="182"/>
      <c r="B197" s="182"/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</row>
    <row r="198" spans="1:17" ht="15.75" customHeight="1" x14ac:dyDescent="0.25">
      <c r="A198" s="182"/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1:17" ht="15.75" customHeight="1" x14ac:dyDescent="0.25">
      <c r="A199" s="182"/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1:17" ht="15.75" customHeight="1" x14ac:dyDescent="0.25">
      <c r="A200" s="182"/>
      <c r="B200" s="182"/>
      <c r="C200" s="182"/>
      <c r="D200" s="182"/>
      <c r="E200" s="182"/>
      <c r="F200" s="182"/>
      <c r="G200" s="182"/>
      <c r="H200" s="182"/>
      <c r="I200" s="182"/>
      <c r="J200" s="182"/>
      <c r="K200" s="182"/>
      <c r="L200" s="182"/>
      <c r="M200" s="182"/>
      <c r="N200" s="182"/>
      <c r="O200" s="182"/>
      <c r="P200" s="182"/>
      <c r="Q200" s="182"/>
    </row>
    <row r="201" spans="1:17" ht="15.75" customHeight="1" x14ac:dyDescent="0.25">
      <c r="A201" s="182"/>
      <c r="B201" s="182"/>
      <c r="C201" s="182"/>
      <c r="D201" s="182"/>
      <c r="E201" s="182"/>
      <c r="F201" s="182"/>
      <c r="G201" s="182"/>
      <c r="H201" s="182"/>
      <c r="I201" s="182"/>
      <c r="J201" s="182"/>
      <c r="K201" s="182"/>
      <c r="L201" s="182"/>
      <c r="M201" s="182"/>
      <c r="N201" s="182"/>
      <c r="O201" s="182"/>
      <c r="P201" s="182"/>
      <c r="Q201" s="182"/>
    </row>
    <row r="202" spans="1:17" ht="15.75" customHeight="1" x14ac:dyDescent="0.25">
      <c r="A202" s="182"/>
      <c r="B202" s="182"/>
      <c r="C202" s="182"/>
      <c r="D202" s="182"/>
      <c r="E202" s="182"/>
      <c r="F202" s="182"/>
      <c r="G202" s="182"/>
      <c r="H202" s="182"/>
      <c r="I202" s="182"/>
      <c r="J202" s="182"/>
      <c r="K202" s="182"/>
      <c r="L202" s="182"/>
      <c r="M202" s="182"/>
      <c r="N202" s="182"/>
      <c r="O202" s="182"/>
      <c r="P202" s="182"/>
      <c r="Q202" s="182"/>
    </row>
    <row r="203" spans="1:17" ht="15.75" customHeight="1" x14ac:dyDescent="0.25">
      <c r="A203" s="182"/>
      <c r="B203" s="182"/>
      <c r="C203" s="182"/>
      <c r="D203" s="182"/>
      <c r="E203" s="182"/>
      <c r="F203" s="182"/>
      <c r="G203" s="182"/>
      <c r="H203" s="182"/>
      <c r="I203" s="182"/>
      <c r="J203" s="182"/>
      <c r="K203" s="182"/>
      <c r="L203" s="182"/>
      <c r="M203" s="182"/>
      <c r="N203" s="182"/>
      <c r="O203" s="182"/>
      <c r="P203" s="182"/>
      <c r="Q203" s="182"/>
    </row>
    <row r="204" spans="1:17" ht="15.75" customHeight="1" x14ac:dyDescent="0.25">
      <c r="A204" s="182"/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</row>
    <row r="205" spans="1:17" ht="15.75" customHeight="1" x14ac:dyDescent="0.25">
      <c r="A205" s="182"/>
      <c r="B205" s="182"/>
      <c r="C205" s="182"/>
      <c r="D205" s="182"/>
      <c r="E205" s="182"/>
      <c r="F205" s="182"/>
      <c r="G205" s="182"/>
      <c r="H205" s="182"/>
      <c r="I205" s="182"/>
      <c r="J205" s="182"/>
      <c r="K205" s="182"/>
      <c r="L205" s="182"/>
      <c r="M205" s="182"/>
      <c r="N205" s="182"/>
      <c r="O205" s="182"/>
      <c r="P205" s="182"/>
      <c r="Q205" s="182"/>
    </row>
    <row r="206" spans="1:17" ht="15.75" customHeight="1" x14ac:dyDescent="0.25">
      <c r="A206" s="182"/>
      <c r="B206" s="182"/>
      <c r="C206" s="182"/>
      <c r="D206" s="182"/>
      <c r="E206" s="182"/>
      <c r="F206" s="182"/>
      <c r="G206" s="182"/>
      <c r="H206" s="182"/>
      <c r="I206" s="182"/>
      <c r="J206" s="182"/>
      <c r="K206" s="182"/>
      <c r="L206" s="182"/>
      <c r="M206" s="182"/>
      <c r="N206" s="182"/>
      <c r="O206" s="182"/>
      <c r="P206" s="182"/>
      <c r="Q206" s="182"/>
    </row>
    <row r="207" spans="1:17" ht="15.75" customHeight="1" x14ac:dyDescent="0.25">
      <c r="A207" s="182"/>
      <c r="B207" s="182"/>
      <c r="C207" s="182"/>
      <c r="D207" s="182"/>
      <c r="E207" s="182"/>
      <c r="F207" s="182"/>
      <c r="G207" s="182"/>
      <c r="H207" s="182"/>
      <c r="I207" s="182"/>
      <c r="J207" s="182"/>
      <c r="K207" s="182"/>
      <c r="L207" s="182"/>
      <c r="M207" s="182"/>
      <c r="N207" s="182"/>
      <c r="O207" s="182"/>
      <c r="P207" s="182"/>
      <c r="Q207" s="182"/>
    </row>
    <row r="208" spans="1:17" ht="15.75" customHeight="1" x14ac:dyDescent="0.25">
      <c r="A208" s="182"/>
      <c r="B208" s="182"/>
      <c r="C208" s="182"/>
      <c r="D208" s="182"/>
      <c r="E208" s="182"/>
      <c r="F208" s="182"/>
      <c r="G208" s="182"/>
      <c r="H208" s="182"/>
      <c r="I208" s="182"/>
      <c r="J208" s="182"/>
      <c r="K208" s="182"/>
      <c r="L208" s="182"/>
      <c r="M208" s="182"/>
      <c r="N208" s="182"/>
      <c r="O208" s="182"/>
      <c r="P208" s="182"/>
      <c r="Q208" s="182"/>
    </row>
    <row r="209" spans="1:17" ht="15.75" customHeight="1" x14ac:dyDescent="0.25">
      <c r="A209" s="182"/>
      <c r="B209" s="182"/>
      <c r="C209" s="182"/>
      <c r="D209" s="182"/>
      <c r="E209" s="182"/>
      <c r="F209" s="182"/>
      <c r="G209" s="182"/>
      <c r="H209" s="182"/>
      <c r="I209" s="182"/>
      <c r="J209" s="182"/>
      <c r="K209" s="182"/>
      <c r="L209" s="182"/>
      <c r="M209" s="182"/>
      <c r="N209" s="182"/>
      <c r="O209" s="182"/>
      <c r="P209" s="182"/>
      <c r="Q209" s="182"/>
    </row>
    <row r="210" spans="1:17" ht="15.75" customHeight="1" x14ac:dyDescent="0.25">
      <c r="A210" s="182"/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  <c r="M210" s="182"/>
      <c r="N210" s="182"/>
      <c r="O210" s="182"/>
      <c r="P210" s="182"/>
      <c r="Q210" s="182"/>
    </row>
    <row r="211" spans="1:17" ht="15.75" customHeight="1" x14ac:dyDescent="0.25">
      <c r="A211" s="182"/>
      <c r="B211" s="182"/>
      <c r="C211" s="182"/>
      <c r="D211" s="182"/>
      <c r="E211" s="182"/>
      <c r="F211" s="182"/>
      <c r="G211" s="182"/>
      <c r="H211" s="182"/>
      <c r="I211" s="182"/>
      <c r="J211" s="182"/>
      <c r="K211" s="182"/>
      <c r="L211" s="182"/>
      <c r="M211" s="182"/>
      <c r="N211" s="182"/>
      <c r="O211" s="182"/>
      <c r="P211" s="182"/>
      <c r="Q211" s="182"/>
    </row>
    <row r="212" spans="1:17" ht="15.75" customHeight="1" x14ac:dyDescent="0.25">
      <c r="A212" s="182"/>
      <c r="B212" s="182"/>
      <c r="C212" s="182"/>
      <c r="D212" s="182"/>
      <c r="E212" s="182"/>
      <c r="F212" s="182"/>
      <c r="G212" s="182"/>
      <c r="H212" s="182"/>
      <c r="I212" s="182"/>
      <c r="J212" s="182"/>
      <c r="K212" s="182"/>
      <c r="L212" s="182"/>
      <c r="M212" s="182"/>
      <c r="N212" s="182"/>
      <c r="O212" s="182"/>
      <c r="P212" s="182"/>
      <c r="Q212" s="182"/>
    </row>
    <row r="213" spans="1:17" ht="15.75" customHeight="1" x14ac:dyDescent="0.25">
      <c r="A213" s="182"/>
      <c r="B213" s="182"/>
      <c r="C213" s="182"/>
      <c r="D213" s="182"/>
      <c r="E213" s="182"/>
      <c r="F213" s="182"/>
      <c r="G213" s="182"/>
      <c r="H213" s="182"/>
      <c r="I213" s="182"/>
      <c r="J213" s="182"/>
      <c r="K213" s="182"/>
      <c r="L213" s="182"/>
      <c r="M213" s="182"/>
      <c r="N213" s="182"/>
      <c r="O213" s="182"/>
      <c r="P213" s="182"/>
      <c r="Q213" s="182"/>
    </row>
    <row r="214" spans="1:17" ht="15.75" customHeight="1" x14ac:dyDescent="0.25">
      <c r="A214" s="182"/>
      <c r="B214" s="182"/>
      <c r="C214" s="182"/>
      <c r="D214" s="182"/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</row>
    <row r="215" spans="1:17" ht="15.75" customHeight="1" x14ac:dyDescent="0.25">
      <c r="A215" s="182"/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</row>
    <row r="216" spans="1:17" ht="15.75" customHeight="1" x14ac:dyDescent="0.25">
      <c r="A216" s="182"/>
      <c r="B216" s="182"/>
      <c r="C216" s="182"/>
      <c r="D216" s="182"/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</row>
    <row r="217" spans="1:17" ht="15.75" customHeight="1" x14ac:dyDescent="0.25">
      <c r="A217" s="182"/>
      <c r="B217" s="182"/>
      <c r="C217" s="182"/>
      <c r="D217" s="182"/>
      <c r="E217" s="182"/>
      <c r="F217" s="182"/>
      <c r="G217" s="182"/>
      <c r="H217" s="182"/>
      <c r="I217" s="182"/>
      <c r="J217" s="182"/>
      <c r="K217" s="182"/>
      <c r="L217" s="182"/>
      <c r="M217" s="182"/>
      <c r="N217" s="182"/>
      <c r="O217" s="182"/>
      <c r="P217" s="182"/>
      <c r="Q217" s="182"/>
    </row>
    <row r="218" spans="1:17" ht="15.75" customHeight="1" x14ac:dyDescent="0.25">
      <c r="A218" s="182"/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</row>
    <row r="219" spans="1:17" ht="15.75" customHeight="1" x14ac:dyDescent="0.25">
      <c r="A219" s="182"/>
      <c r="B219" s="182"/>
      <c r="C219" s="182"/>
      <c r="D219" s="182"/>
      <c r="E219" s="182"/>
      <c r="F219" s="182"/>
      <c r="G219" s="182"/>
      <c r="H219" s="182"/>
      <c r="I219" s="182"/>
      <c r="J219" s="182"/>
      <c r="K219" s="182"/>
      <c r="L219" s="182"/>
      <c r="M219" s="182"/>
      <c r="N219" s="182"/>
      <c r="O219" s="182"/>
      <c r="P219" s="182"/>
      <c r="Q219" s="182"/>
    </row>
    <row r="220" spans="1:17" ht="15.75" customHeight="1" x14ac:dyDescent="0.25">
      <c r="A220" s="182"/>
      <c r="B220" s="182"/>
      <c r="C220" s="182"/>
      <c r="D220" s="182"/>
      <c r="E220" s="182"/>
      <c r="F220" s="182"/>
      <c r="G220" s="182"/>
      <c r="H220" s="182"/>
      <c r="I220" s="182"/>
      <c r="J220" s="182"/>
      <c r="K220" s="182"/>
      <c r="L220" s="182"/>
      <c r="M220" s="182"/>
      <c r="N220" s="182"/>
      <c r="O220" s="182"/>
      <c r="P220" s="182"/>
      <c r="Q220" s="182"/>
    </row>
    <row r="221" spans="1:17" ht="15.75" customHeight="1" x14ac:dyDescent="0.25">
      <c r="A221" s="182"/>
      <c r="B221" s="182"/>
      <c r="C221" s="182"/>
      <c r="D221" s="182"/>
      <c r="E221" s="182"/>
      <c r="F221" s="182"/>
      <c r="G221" s="182"/>
      <c r="H221" s="182"/>
      <c r="I221" s="182"/>
      <c r="J221" s="182"/>
      <c r="K221" s="182"/>
      <c r="L221" s="182"/>
      <c r="M221" s="182"/>
      <c r="N221" s="182"/>
      <c r="O221" s="182"/>
      <c r="P221" s="182"/>
      <c r="Q221" s="182"/>
    </row>
    <row r="222" spans="1:17" ht="15.75" customHeight="1" x14ac:dyDescent="0.25">
      <c r="A222" s="182"/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P222" s="182"/>
      <c r="Q222" s="182"/>
    </row>
    <row r="223" spans="1:17" ht="15.75" customHeight="1" x14ac:dyDescent="0.25">
      <c r="A223" s="182"/>
      <c r="B223" s="182"/>
      <c r="C223" s="182"/>
      <c r="D223" s="182"/>
      <c r="E223" s="182"/>
      <c r="F223" s="182"/>
      <c r="G223" s="182"/>
      <c r="H223" s="182"/>
      <c r="I223" s="182"/>
      <c r="J223" s="182"/>
      <c r="K223" s="182"/>
      <c r="L223" s="182"/>
      <c r="M223" s="182"/>
      <c r="N223" s="182"/>
      <c r="O223" s="182"/>
      <c r="P223" s="182"/>
      <c r="Q223" s="182"/>
    </row>
    <row r="224" spans="1:17" ht="15.75" customHeight="1" x14ac:dyDescent="0.25">
      <c r="A224" s="182"/>
      <c r="B224" s="182"/>
      <c r="C224" s="182"/>
      <c r="D224" s="182"/>
      <c r="E224" s="182"/>
      <c r="F224" s="182"/>
      <c r="G224" s="182"/>
      <c r="H224" s="182"/>
      <c r="I224" s="182"/>
      <c r="J224" s="182"/>
      <c r="K224" s="182"/>
      <c r="L224" s="182"/>
      <c r="M224" s="182"/>
      <c r="N224" s="182"/>
      <c r="O224" s="182"/>
      <c r="P224" s="182"/>
      <c r="Q224" s="182"/>
    </row>
    <row r="225" spans="1:17" ht="15.75" customHeight="1" x14ac:dyDescent="0.25">
      <c r="A225" s="182"/>
      <c r="B225" s="182"/>
      <c r="C225" s="182"/>
      <c r="D225" s="182"/>
      <c r="E225" s="182"/>
      <c r="F225" s="182"/>
      <c r="G225" s="182"/>
      <c r="H225" s="182"/>
      <c r="I225" s="182"/>
      <c r="J225" s="182"/>
      <c r="K225" s="182"/>
      <c r="L225" s="182"/>
      <c r="M225" s="182"/>
      <c r="N225" s="182"/>
      <c r="O225" s="182"/>
      <c r="P225" s="182"/>
      <c r="Q225" s="182"/>
    </row>
    <row r="226" spans="1:17" ht="15.75" customHeight="1" x14ac:dyDescent="0.25">
      <c r="A226" s="182"/>
      <c r="B226" s="182"/>
      <c r="C226" s="182"/>
      <c r="D226" s="182"/>
      <c r="E226" s="182"/>
      <c r="F226" s="182"/>
      <c r="G226" s="182"/>
      <c r="H226" s="182"/>
      <c r="I226" s="182"/>
      <c r="J226" s="182"/>
      <c r="K226" s="182"/>
      <c r="L226" s="182"/>
      <c r="M226" s="182"/>
      <c r="N226" s="182"/>
      <c r="O226" s="182"/>
      <c r="P226" s="182"/>
      <c r="Q226" s="182"/>
    </row>
    <row r="227" spans="1:17" ht="15.75" customHeight="1" x14ac:dyDescent="0.25">
      <c r="A227" s="182"/>
      <c r="B227" s="182"/>
      <c r="C227" s="182"/>
      <c r="D227" s="182"/>
      <c r="E227" s="182"/>
      <c r="F227" s="182"/>
      <c r="G227" s="182"/>
      <c r="H227" s="182"/>
      <c r="I227" s="182"/>
      <c r="J227" s="182"/>
      <c r="K227" s="182"/>
      <c r="L227" s="182"/>
      <c r="M227" s="182"/>
      <c r="N227" s="182"/>
      <c r="O227" s="182"/>
      <c r="P227" s="182"/>
      <c r="Q227" s="182"/>
    </row>
    <row r="228" spans="1:17" ht="15.75" customHeight="1" x14ac:dyDescent="0.25">
      <c r="A228" s="182"/>
      <c r="B228" s="182"/>
      <c r="C228" s="182"/>
      <c r="D228" s="182"/>
      <c r="E228" s="182"/>
      <c r="F228" s="182"/>
      <c r="G228" s="182"/>
      <c r="H228" s="182"/>
      <c r="I228" s="182"/>
      <c r="J228" s="182"/>
      <c r="K228" s="182"/>
      <c r="L228" s="182"/>
      <c r="M228" s="182"/>
      <c r="N228" s="182"/>
      <c r="O228" s="182"/>
      <c r="P228" s="182"/>
      <c r="Q228" s="182"/>
    </row>
    <row r="229" spans="1:17" ht="15.75" customHeight="1" x14ac:dyDescent="0.25">
      <c r="A229" s="182"/>
      <c r="B229" s="182"/>
      <c r="C229" s="182"/>
      <c r="D229" s="182"/>
      <c r="E229" s="182"/>
      <c r="F229" s="182"/>
      <c r="G229" s="182"/>
      <c r="H229" s="182"/>
      <c r="I229" s="182"/>
      <c r="J229" s="182"/>
      <c r="K229" s="182"/>
      <c r="L229" s="182"/>
      <c r="M229" s="182"/>
      <c r="N229" s="182"/>
      <c r="O229" s="182"/>
      <c r="P229" s="182"/>
      <c r="Q229" s="182"/>
    </row>
    <row r="230" spans="1:17" ht="15.75" customHeight="1" x14ac:dyDescent="0.25">
      <c r="A230" s="182"/>
      <c r="B230" s="182"/>
      <c r="C230" s="182"/>
      <c r="D230" s="182"/>
      <c r="E230" s="182"/>
      <c r="F230" s="182"/>
      <c r="G230" s="182"/>
      <c r="H230" s="182"/>
      <c r="I230" s="182"/>
      <c r="J230" s="182"/>
      <c r="K230" s="182"/>
      <c r="L230" s="182"/>
      <c r="M230" s="182"/>
      <c r="N230" s="182"/>
      <c r="O230" s="182"/>
      <c r="P230" s="182"/>
      <c r="Q230" s="182"/>
    </row>
    <row r="231" spans="1:17" ht="15.75" customHeight="1" x14ac:dyDescent="0.25">
      <c r="A231" s="182"/>
      <c r="B231" s="182"/>
      <c r="C231" s="182"/>
      <c r="D231" s="182"/>
      <c r="E231" s="182"/>
      <c r="F231" s="182"/>
      <c r="G231" s="182"/>
      <c r="H231" s="182"/>
      <c r="I231" s="182"/>
      <c r="J231" s="182"/>
      <c r="K231" s="182"/>
      <c r="L231" s="182"/>
      <c r="M231" s="182"/>
      <c r="N231" s="182"/>
      <c r="O231" s="182"/>
      <c r="P231" s="182"/>
      <c r="Q231" s="182"/>
    </row>
    <row r="232" spans="1:17" ht="15.75" customHeight="1" x14ac:dyDescent="0.25">
      <c r="A232" s="182"/>
      <c r="B232" s="182"/>
      <c r="C232" s="182"/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182"/>
      <c r="P232" s="182"/>
      <c r="Q232" s="182"/>
    </row>
    <row r="233" spans="1:17" ht="15.75" customHeight="1" x14ac:dyDescent="0.25">
      <c r="A233" s="182"/>
      <c r="B233" s="182"/>
      <c r="C233" s="182"/>
      <c r="D233" s="182"/>
      <c r="E233" s="182"/>
      <c r="F233" s="182"/>
      <c r="G233" s="182"/>
      <c r="H233" s="182"/>
      <c r="I233" s="182"/>
      <c r="J233" s="182"/>
      <c r="K233" s="182"/>
      <c r="L233" s="182"/>
      <c r="M233" s="182"/>
      <c r="N233" s="182"/>
      <c r="O233" s="182"/>
      <c r="P233" s="182"/>
      <c r="Q233" s="182"/>
    </row>
    <row r="234" spans="1:17" ht="15.75" customHeight="1" x14ac:dyDescent="0.25">
      <c r="A234" s="182"/>
      <c r="B234" s="182"/>
      <c r="C234" s="182"/>
      <c r="D234" s="182"/>
      <c r="E234" s="182"/>
      <c r="F234" s="182"/>
      <c r="G234" s="182"/>
      <c r="H234" s="182"/>
      <c r="I234" s="182"/>
      <c r="J234" s="182"/>
      <c r="K234" s="182"/>
      <c r="L234" s="182"/>
      <c r="M234" s="182"/>
      <c r="N234" s="182"/>
      <c r="O234" s="182"/>
      <c r="P234" s="182"/>
      <c r="Q234" s="182"/>
    </row>
    <row r="235" spans="1:17" ht="15.75" customHeight="1" x14ac:dyDescent="0.25">
      <c r="A235" s="182"/>
      <c r="B235" s="182"/>
      <c r="C235" s="182"/>
      <c r="D235" s="182"/>
      <c r="E235" s="182"/>
      <c r="F235" s="182"/>
      <c r="G235" s="182"/>
      <c r="H235" s="182"/>
      <c r="I235" s="182"/>
      <c r="J235" s="182"/>
      <c r="K235" s="182"/>
      <c r="L235" s="182"/>
      <c r="M235" s="182"/>
      <c r="N235" s="182"/>
      <c r="O235" s="182"/>
      <c r="P235" s="182"/>
      <c r="Q235" s="182"/>
    </row>
    <row r="236" spans="1:17" ht="15.75" customHeight="1" x14ac:dyDescent="0.25">
      <c r="A236" s="182"/>
      <c r="B236" s="182"/>
      <c r="C236" s="182"/>
      <c r="D236" s="182"/>
      <c r="E236" s="182"/>
      <c r="F236" s="182"/>
      <c r="G236" s="182"/>
      <c r="H236" s="182"/>
      <c r="I236" s="182"/>
      <c r="J236" s="182"/>
      <c r="K236" s="182"/>
      <c r="L236" s="182"/>
      <c r="M236" s="182"/>
      <c r="N236" s="182"/>
      <c r="O236" s="182"/>
      <c r="P236" s="182"/>
      <c r="Q236" s="182"/>
    </row>
    <row r="237" spans="1:17" ht="15.75" customHeight="1" x14ac:dyDescent="0.25">
      <c r="A237" s="182"/>
      <c r="B237" s="182"/>
      <c r="C237" s="182"/>
      <c r="D237" s="182"/>
      <c r="E237" s="182"/>
      <c r="F237" s="182"/>
      <c r="G237" s="182"/>
      <c r="H237" s="182"/>
      <c r="I237" s="182"/>
      <c r="J237" s="182"/>
      <c r="K237" s="182"/>
      <c r="L237" s="182"/>
      <c r="M237" s="182"/>
      <c r="N237" s="182"/>
      <c r="O237" s="182"/>
      <c r="P237" s="182"/>
      <c r="Q237" s="182"/>
    </row>
    <row r="238" spans="1:17" ht="15.75" customHeight="1" x14ac:dyDescent="0.25">
      <c r="A238" s="182"/>
      <c r="B238" s="182"/>
      <c r="C238" s="182"/>
      <c r="D238" s="182"/>
      <c r="E238" s="182"/>
      <c r="F238" s="182"/>
      <c r="G238" s="182"/>
      <c r="H238" s="182"/>
      <c r="I238" s="182"/>
      <c r="J238" s="182"/>
      <c r="K238" s="182"/>
      <c r="L238" s="182"/>
      <c r="M238" s="182"/>
      <c r="N238" s="182"/>
      <c r="O238" s="182"/>
      <c r="P238" s="182"/>
      <c r="Q238" s="182"/>
    </row>
    <row r="239" spans="1:17" ht="15.75" customHeight="1" x14ac:dyDescent="0.25">
      <c r="A239" s="182"/>
      <c r="B239" s="182"/>
      <c r="C239" s="182"/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</row>
    <row r="240" spans="1:17" ht="15.75" customHeight="1" x14ac:dyDescent="0.25">
      <c r="A240" s="182"/>
      <c r="B240" s="182"/>
      <c r="C240" s="182"/>
      <c r="D240" s="182"/>
      <c r="E240" s="182"/>
      <c r="F240" s="182"/>
      <c r="G240" s="182"/>
      <c r="H240" s="182"/>
      <c r="I240" s="182"/>
      <c r="J240" s="182"/>
      <c r="K240" s="182"/>
      <c r="L240" s="182"/>
      <c r="M240" s="182"/>
      <c r="N240" s="182"/>
      <c r="O240" s="182"/>
      <c r="P240" s="182"/>
      <c r="Q240" s="182"/>
    </row>
    <row r="241" spans="1:17" ht="15.75" customHeight="1" x14ac:dyDescent="0.25">
      <c r="A241" s="182"/>
      <c r="B241" s="182"/>
      <c r="C241" s="182"/>
      <c r="D241" s="182"/>
      <c r="E241" s="182"/>
      <c r="F241" s="182"/>
      <c r="G241" s="182"/>
      <c r="H241" s="182"/>
      <c r="I241" s="182"/>
      <c r="J241" s="182"/>
      <c r="K241" s="182"/>
      <c r="L241" s="182"/>
      <c r="M241" s="182"/>
      <c r="N241" s="182"/>
      <c r="O241" s="182"/>
      <c r="P241" s="182"/>
      <c r="Q241" s="182"/>
    </row>
    <row r="242" spans="1:17" ht="15.75" customHeight="1" x14ac:dyDescent="0.25">
      <c r="A242" s="182"/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</row>
    <row r="243" spans="1:17" ht="15.75" customHeight="1" x14ac:dyDescent="0.25">
      <c r="A243" s="182"/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</row>
    <row r="244" spans="1:17" ht="15.75" customHeight="1" x14ac:dyDescent="0.25">
      <c r="A244" s="182"/>
      <c r="B244" s="182"/>
      <c r="C244" s="182"/>
      <c r="D244" s="182"/>
      <c r="E244" s="182"/>
      <c r="F244" s="182"/>
      <c r="G244" s="182"/>
      <c r="H244" s="182"/>
      <c r="I244" s="182"/>
      <c r="J244" s="182"/>
      <c r="K244" s="182"/>
      <c r="L244" s="182"/>
      <c r="M244" s="182"/>
      <c r="N244" s="182"/>
      <c r="O244" s="182"/>
      <c r="P244" s="182"/>
      <c r="Q244" s="182"/>
    </row>
    <row r="245" spans="1:17" ht="15.75" customHeight="1" x14ac:dyDescent="0.25">
      <c r="A245" s="182"/>
      <c r="B245" s="182"/>
      <c r="C245" s="182"/>
      <c r="D245" s="182"/>
      <c r="E245" s="182"/>
      <c r="F245" s="182"/>
      <c r="G245" s="182"/>
      <c r="H245" s="182"/>
      <c r="I245" s="182"/>
      <c r="J245" s="182"/>
      <c r="K245" s="182"/>
      <c r="L245" s="182"/>
      <c r="M245" s="182"/>
      <c r="N245" s="182"/>
      <c r="O245" s="182"/>
      <c r="P245" s="182"/>
      <c r="Q245" s="182"/>
    </row>
    <row r="246" spans="1:17" ht="15.75" customHeight="1" x14ac:dyDescent="0.25">
      <c r="A246" s="182"/>
      <c r="B246" s="182"/>
      <c r="C246" s="182"/>
      <c r="D246" s="182"/>
      <c r="E246" s="182"/>
      <c r="F246" s="182"/>
      <c r="G246" s="182"/>
      <c r="H246" s="182"/>
      <c r="I246" s="182"/>
      <c r="J246" s="182"/>
      <c r="K246" s="182"/>
      <c r="L246" s="182"/>
      <c r="M246" s="182"/>
      <c r="N246" s="182"/>
      <c r="O246" s="182"/>
      <c r="P246" s="182"/>
      <c r="Q246" s="182"/>
    </row>
    <row r="247" spans="1:17" ht="15.75" customHeight="1" x14ac:dyDescent="0.25">
      <c r="A247" s="182"/>
      <c r="B247" s="182"/>
      <c r="C247" s="182"/>
      <c r="D247" s="182"/>
      <c r="E247" s="182"/>
      <c r="F247" s="182"/>
      <c r="G247" s="182"/>
      <c r="H247" s="182"/>
      <c r="I247" s="182"/>
      <c r="J247" s="182"/>
      <c r="K247" s="182"/>
      <c r="L247" s="182"/>
      <c r="M247" s="182"/>
      <c r="N247" s="182"/>
      <c r="O247" s="182"/>
      <c r="P247" s="182"/>
      <c r="Q247" s="182"/>
    </row>
    <row r="248" spans="1:17" ht="15.75" customHeight="1" x14ac:dyDescent="0.25">
      <c r="A248" s="182"/>
      <c r="B248" s="182"/>
      <c r="C248" s="182"/>
      <c r="D248" s="182"/>
      <c r="E248" s="182"/>
      <c r="F248" s="182"/>
      <c r="G248" s="182"/>
      <c r="H248" s="182"/>
      <c r="I248" s="182"/>
      <c r="J248" s="182"/>
      <c r="K248" s="182"/>
      <c r="L248" s="182"/>
      <c r="M248" s="182"/>
      <c r="N248" s="182"/>
      <c r="O248" s="182"/>
      <c r="P248" s="182"/>
      <c r="Q248" s="182"/>
    </row>
    <row r="249" spans="1:17" ht="15.75" customHeight="1" x14ac:dyDescent="0.25">
      <c r="A249" s="182"/>
      <c r="B249" s="182"/>
      <c r="C249" s="182"/>
      <c r="D249" s="182"/>
      <c r="E249" s="182"/>
      <c r="F249" s="182"/>
      <c r="G249" s="182"/>
      <c r="H249" s="182"/>
      <c r="I249" s="182"/>
      <c r="J249" s="182"/>
      <c r="K249" s="182"/>
      <c r="L249" s="182"/>
      <c r="M249" s="182"/>
      <c r="N249" s="182"/>
      <c r="O249" s="182"/>
      <c r="P249" s="182"/>
      <c r="Q249" s="182"/>
    </row>
    <row r="250" spans="1:17" ht="15.75" customHeight="1" x14ac:dyDescent="0.25">
      <c r="A250" s="182"/>
      <c r="B250" s="182"/>
      <c r="C250" s="182"/>
      <c r="D250" s="182"/>
      <c r="E250" s="182"/>
      <c r="F250" s="182"/>
      <c r="G250" s="182"/>
      <c r="H250" s="182"/>
      <c r="I250" s="182"/>
      <c r="J250" s="182"/>
      <c r="K250" s="182"/>
      <c r="L250" s="182"/>
      <c r="M250" s="182"/>
      <c r="N250" s="182"/>
      <c r="O250" s="182"/>
      <c r="P250" s="182"/>
      <c r="Q250" s="182"/>
    </row>
    <row r="251" spans="1:17" ht="15.75" customHeight="1" x14ac:dyDescent="0.25">
      <c r="A251" s="182"/>
      <c r="B251" s="182"/>
      <c r="C251" s="182"/>
      <c r="D251" s="182"/>
      <c r="E251" s="182"/>
      <c r="F251" s="182"/>
      <c r="G251" s="182"/>
      <c r="H251" s="182"/>
      <c r="I251" s="182"/>
      <c r="J251" s="182"/>
      <c r="K251" s="182"/>
      <c r="L251" s="182"/>
      <c r="M251" s="182"/>
      <c r="N251" s="182"/>
      <c r="O251" s="182"/>
      <c r="P251" s="182"/>
      <c r="Q251" s="182"/>
    </row>
    <row r="252" spans="1:17" ht="15.75" customHeight="1" x14ac:dyDescent="0.25">
      <c r="A252" s="182"/>
      <c r="B252" s="182"/>
      <c r="C252" s="182"/>
      <c r="D252" s="182"/>
      <c r="E252" s="182"/>
      <c r="F252" s="182"/>
      <c r="G252" s="182"/>
      <c r="H252" s="182"/>
      <c r="I252" s="182"/>
      <c r="J252" s="182"/>
      <c r="K252" s="182"/>
      <c r="L252" s="182"/>
      <c r="M252" s="182"/>
      <c r="N252" s="182"/>
      <c r="O252" s="182"/>
      <c r="P252" s="182"/>
      <c r="Q252" s="182"/>
    </row>
    <row r="253" spans="1:17" ht="15.75" customHeight="1" x14ac:dyDescent="0.25">
      <c r="A253" s="182"/>
      <c r="B253" s="182"/>
      <c r="C253" s="182"/>
      <c r="D253" s="182"/>
      <c r="E253" s="182"/>
      <c r="F253" s="182"/>
      <c r="G253" s="182"/>
      <c r="H253" s="182"/>
      <c r="I253" s="182"/>
      <c r="J253" s="182"/>
      <c r="K253" s="182"/>
      <c r="L253" s="182"/>
      <c r="M253" s="182"/>
      <c r="N253" s="182"/>
      <c r="O253" s="182"/>
      <c r="P253" s="182"/>
      <c r="Q253" s="182"/>
    </row>
    <row r="254" spans="1:17" ht="15.75" customHeight="1" x14ac:dyDescent="0.25">
      <c r="A254" s="182"/>
      <c r="B254" s="182"/>
      <c r="C254" s="182"/>
      <c r="D254" s="182"/>
      <c r="E254" s="182"/>
      <c r="F254" s="182"/>
      <c r="G254" s="182"/>
      <c r="H254" s="182"/>
      <c r="I254" s="182"/>
      <c r="J254" s="182"/>
      <c r="K254" s="182"/>
      <c r="L254" s="182"/>
      <c r="M254" s="182"/>
      <c r="N254" s="182"/>
      <c r="O254" s="182"/>
      <c r="P254" s="182"/>
      <c r="Q254" s="182"/>
    </row>
    <row r="255" spans="1:17" ht="15.75" customHeight="1" x14ac:dyDescent="0.25">
      <c r="A255" s="182"/>
      <c r="B255" s="182"/>
      <c r="C255" s="182"/>
      <c r="D255" s="182"/>
      <c r="E255" s="182"/>
      <c r="F255" s="182"/>
      <c r="G255" s="182"/>
      <c r="H255" s="182"/>
      <c r="I255" s="182"/>
      <c r="J255" s="182"/>
      <c r="K255" s="182"/>
      <c r="L255" s="182"/>
      <c r="M255" s="182"/>
      <c r="N255" s="182"/>
      <c r="O255" s="182"/>
      <c r="P255" s="182"/>
      <c r="Q255" s="182"/>
    </row>
    <row r="256" spans="1:17" ht="15.75" customHeight="1" x14ac:dyDescent="0.25">
      <c r="A256" s="182"/>
      <c r="B256" s="182"/>
      <c r="C256" s="182"/>
      <c r="D256" s="182"/>
      <c r="E256" s="182"/>
      <c r="F256" s="182"/>
      <c r="G256" s="182"/>
      <c r="H256" s="182"/>
      <c r="I256" s="182"/>
      <c r="J256" s="182"/>
      <c r="K256" s="182"/>
      <c r="L256" s="182"/>
      <c r="M256" s="182"/>
      <c r="N256" s="182"/>
      <c r="O256" s="182"/>
      <c r="P256" s="182"/>
      <c r="Q256" s="182"/>
    </row>
    <row r="257" spans="1:17" ht="15.75" customHeight="1" x14ac:dyDescent="0.25">
      <c r="A257" s="182"/>
      <c r="B257" s="182"/>
      <c r="C257" s="182"/>
      <c r="D257" s="182"/>
      <c r="E257" s="182"/>
      <c r="F257" s="182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</row>
    <row r="258" spans="1:17" ht="15.75" customHeight="1" x14ac:dyDescent="0.25">
      <c r="A258" s="182"/>
      <c r="B258" s="182"/>
      <c r="C258" s="182"/>
      <c r="D258" s="182"/>
      <c r="E258" s="182"/>
      <c r="F258" s="182"/>
      <c r="G258" s="182"/>
      <c r="H258" s="182"/>
      <c r="I258" s="182"/>
      <c r="J258" s="182"/>
      <c r="K258" s="182"/>
      <c r="L258" s="182"/>
      <c r="M258" s="182"/>
      <c r="N258" s="182"/>
      <c r="O258" s="182"/>
      <c r="P258" s="182"/>
      <c r="Q258" s="182"/>
    </row>
    <row r="259" spans="1:17" ht="15.75" customHeight="1" x14ac:dyDescent="0.25">
      <c r="A259" s="182"/>
      <c r="B259" s="182"/>
      <c r="C259" s="182"/>
      <c r="D259" s="182"/>
      <c r="E259" s="182"/>
      <c r="F259" s="182"/>
      <c r="G259" s="182"/>
      <c r="H259" s="182"/>
      <c r="I259" s="182"/>
      <c r="J259" s="182"/>
      <c r="K259" s="182"/>
      <c r="L259" s="182"/>
      <c r="M259" s="182"/>
      <c r="N259" s="182"/>
      <c r="O259" s="182"/>
      <c r="P259" s="182"/>
      <c r="Q259" s="182"/>
    </row>
    <row r="260" spans="1:17" ht="15.75" customHeight="1" x14ac:dyDescent="0.25">
      <c r="A260" s="182"/>
      <c r="B260" s="182"/>
      <c r="C260" s="182"/>
      <c r="D260" s="182"/>
      <c r="E260" s="182"/>
      <c r="F260" s="182"/>
      <c r="G260" s="182"/>
      <c r="H260" s="182"/>
      <c r="I260" s="182"/>
      <c r="J260" s="182"/>
      <c r="K260" s="182"/>
      <c r="L260" s="182"/>
      <c r="M260" s="182"/>
      <c r="N260" s="182"/>
      <c r="O260" s="182"/>
      <c r="P260" s="182"/>
      <c r="Q260" s="182"/>
    </row>
    <row r="261" spans="1:17" ht="15.75" customHeight="1" x14ac:dyDescent="0.25">
      <c r="A261" s="182"/>
      <c r="B261" s="182"/>
      <c r="C261" s="182"/>
      <c r="D261" s="182"/>
      <c r="E261" s="182"/>
      <c r="F261" s="182"/>
      <c r="G261" s="182"/>
      <c r="H261" s="182"/>
      <c r="I261" s="182"/>
      <c r="J261" s="182"/>
      <c r="K261" s="182"/>
      <c r="L261" s="182"/>
      <c r="M261" s="182"/>
      <c r="N261" s="182"/>
      <c r="O261" s="182"/>
      <c r="P261" s="182"/>
      <c r="Q261" s="182"/>
    </row>
    <row r="262" spans="1:17" ht="15.75" customHeight="1" x14ac:dyDescent="0.25">
      <c r="A262" s="182"/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</row>
    <row r="263" spans="1:17" ht="15.75" customHeight="1" x14ac:dyDescent="0.25">
      <c r="A263" s="182"/>
      <c r="B263" s="182"/>
      <c r="C263" s="182"/>
      <c r="D263" s="182"/>
      <c r="E263" s="182"/>
      <c r="F263" s="182"/>
      <c r="G263" s="182"/>
      <c r="H263" s="182"/>
      <c r="I263" s="182"/>
      <c r="J263" s="182"/>
      <c r="K263" s="182"/>
      <c r="L263" s="182"/>
      <c r="M263" s="182"/>
      <c r="N263" s="182"/>
      <c r="O263" s="182"/>
      <c r="P263" s="182"/>
      <c r="Q263" s="182"/>
    </row>
    <row r="264" spans="1:17" ht="15.75" customHeight="1" x14ac:dyDescent="0.25">
      <c r="A264" s="182"/>
      <c r="B264" s="182"/>
      <c r="C264" s="182"/>
      <c r="D264" s="182"/>
      <c r="E264" s="182"/>
      <c r="F264" s="182"/>
      <c r="G264" s="182"/>
      <c r="H264" s="182"/>
      <c r="I264" s="182"/>
      <c r="J264" s="182"/>
      <c r="K264" s="182"/>
      <c r="L264" s="182"/>
      <c r="M264" s="182"/>
      <c r="N264" s="182"/>
      <c r="O264" s="182"/>
      <c r="P264" s="182"/>
      <c r="Q264" s="182"/>
    </row>
    <row r="265" spans="1:17" ht="15.75" customHeight="1" x14ac:dyDescent="0.25">
      <c r="A265" s="182"/>
      <c r="B265" s="182"/>
      <c r="C265" s="182"/>
      <c r="D265" s="182"/>
      <c r="E265" s="182"/>
      <c r="F265" s="182"/>
      <c r="G265" s="182"/>
      <c r="H265" s="182"/>
      <c r="I265" s="182"/>
      <c r="J265" s="182"/>
      <c r="K265" s="182"/>
      <c r="L265" s="182"/>
      <c r="M265" s="182"/>
      <c r="N265" s="182"/>
      <c r="O265" s="182"/>
      <c r="P265" s="182"/>
      <c r="Q265" s="182"/>
    </row>
    <row r="266" spans="1:17" ht="15.75" customHeight="1" x14ac:dyDescent="0.25">
      <c r="A266" s="182"/>
      <c r="B266" s="182"/>
      <c r="C266" s="182"/>
      <c r="D266" s="182"/>
      <c r="E266" s="182"/>
      <c r="F266" s="182"/>
      <c r="G266" s="182"/>
      <c r="H266" s="182"/>
      <c r="I266" s="182"/>
      <c r="J266" s="182"/>
      <c r="K266" s="182"/>
      <c r="L266" s="182"/>
      <c r="M266" s="182"/>
      <c r="N266" s="182"/>
      <c r="O266" s="182"/>
      <c r="P266" s="182"/>
      <c r="Q266" s="182"/>
    </row>
    <row r="267" spans="1:17" ht="15.75" customHeight="1" x14ac:dyDescent="0.25">
      <c r="A267" s="182"/>
      <c r="B267" s="182"/>
      <c r="C267" s="182"/>
      <c r="D267" s="182"/>
      <c r="E267" s="182"/>
      <c r="F267" s="182"/>
      <c r="G267" s="182"/>
      <c r="H267" s="182"/>
      <c r="I267" s="182"/>
      <c r="J267" s="182"/>
      <c r="K267" s="182"/>
      <c r="L267" s="182"/>
      <c r="M267" s="182"/>
      <c r="N267" s="182"/>
      <c r="O267" s="182"/>
      <c r="P267" s="182"/>
      <c r="Q267" s="182"/>
    </row>
    <row r="268" spans="1:17" ht="15.75" customHeight="1" x14ac:dyDescent="0.25">
      <c r="A268" s="182"/>
      <c r="B268" s="182"/>
      <c r="C268" s="182"/>
      <c r="D268" s="182"/>
      <c r="E268" s="182"/>
      <c r="F268" s="182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</row>
    <row r="269" spans="1:17" ht="15.75" customHeight="1" x14ac:dyDescent="0.25">
      <c r="A269" s="182"/>
      <c r="B269" s="182"/>
      <c r="C269" s="182"/>
      <c r="D269" s="182"/>
      <c r="E269" s="182"/>
      <c r="F269" s="182"/>
      <c r="G269" s="182"/>
      <c r="H269" s="182"/>
      <c r="I269" s="182"/>
      <c r="J269" s="182"/>
      <c r="K269" s="182"/>
      <c r="L269" s="182"/>
      <c r="M269" s="182"/>
      <c r="N269" s="182"/>
      <c r="O269" s="182"/>
      <c r="P269" s="182"/>
      <c r="Q269" s="182"/>
    </row>
    <row r="270" spans="1:17" ht="15.75" customHeight="1" x14ac:dyDescent="0.25">
      <c r="A270" s="182"/>
      <c r="B270" s="182"/>
      <c r="C270" s="182"/>
      <c r="D270" s="182"/>
      <c r="E270" s="182"/>
      <c r="F270" s="182"/>
      <c r="G270" s="182"/>
      <c r="H270" s="182"/>
      <c r="I270" s="182"/>
      <c r="J270" s="182"/>
      <c r="K270" s="182"/>
      <c r="L270" s="182"/>
      <c r="M270" s="182"/>
      <c r="N270" s="182"/>
      <c r="O270" s="182"/>
      <c r="P270" s="182"/>
      <c r="Q270" s="182"/>
    </row>
    <row r="271" spans="1:17" ht="15.75" customHeight="1" x14ac:dyDescent="0.25">
      <c r="A271" s="182"/>
      <c r="B271" s="182"/>
      <c r="C271" s="182"/>
      <c r="D271" s="182"/>
      <c r="E271" s="182"/>
      <c r="F271" s="182"/>
      <c r="G271" s="182"/>
      <c r="H271" s="182"/>
      <c r="I271" s="182"/>
      <c r="J271" s="182"/>
      <c r="K271" s="182"/>
      <c r="L271" s="182"/>
      <c r="M271" s="182"/>
      <c r="N271" s="182"/>
      <c r="O271" s="182"/>
      <c r="P271" s="182"/>
      <c r="Q271" s="182"/>
    </row>
    <row r="272" spans="1:17" ht="15.75" customHeight="1" x14ac:dyDescent="0.25">
      <c r="A272" s="182"/>
      <c r="B272" s="182"/>
      <c r="C272" s="182"/>
      <c r="D272" s="182"/>
      <c r="E272" s="182"/>
      <c r="F272" s="182"/>
      <c r="G272" s="182"/>
      <c r="H272" s="182"/>
      <c r="I272" s="182"/>
      <c r="J272" s="182"/>
      <c r="K272" s="182"/>
      <c r="L272" s="182"/>
      <c r="M272" s="182"/>
      <c r="N272" s="182"/>
      <c r="O272" s="182"/>
      <c r="P272" s="182"/>
      <c r="Q272" s="182"/>
    </row>
    <row r="273" spans="1:17" ht="15.75" customHeight="1" x14ac:dyDescent="0.25">
      <c r="A273" s="182"/>
      <c r="B273" s="182"/>
      <c r="C273" s="182"/>
      <c r="D273" s="182"/>
      <c r="E273" s="182"/>
      <c r="F273" s="182"/>
      <c r="G273" s="182"/>
      <c r="H273" s="182"/>
      <c r="I273" s="182"/>
      <c r="J273" s="182"/>
      <c r="K273" s="182"/>
      <c r="L273" s="182"/>
      <c r="M273" s="182"/>
      <c r="N273" s="182"/>
      <c r="O273" s="182"/>
      <c r="P273" s="182"/>
      <c r="Q273" s="182"/>
    </row>
    <row r="274" spans="1:17" ht="15.75" customHeight="1" x14ac:dyDescent="0.25">
      <c r="A274" s="182"/>
      <c r="B274" s="182"/>
      <c r="C274" s="182"/>
      <c r="D274" s="182"/>
      <c r="E274" s="182"/>
      <c r="F274" s="182"/>
      <c r="G274" s="182"/>
      <c r="H274" s="182"/>
      <c r="I274" s="182"/>
      <c r="J274" s="182"/>
      <c r="K274" s="182"/>
      <c r="L274" s="182"/>
      <c r="M274" s="182"/>
      <c r="N274" s="182"/>
      <c r="O274" s="182"/>
      <c r="P274" s="182"/>
      <c r="Q274" s="182"/>
    </row>
    <row r="275" spans="1:17" ht="15.75" customHeight="1" x14ac:dyDescent="0.25">
      <c r="A275" s="182"/>
      <c r="B275" s="182"/>
      <c r="C275" s="182"/>
      <c r="D275" s="182"/>
      <c r="E275" s="182"/>
      <c r="F275" s="182"/>
      <c r="G275" s="182"/>
      <c r="H275" s="182"/>
      <c r="I275" s="182"/>
      <c r="J275" s="182"/>
      <c r="K275" s="182"/>
      <c r="L275" s="182"/>
      <c r="M275" s="182"/>
      <c r="N275" s="182"/>
      <c r="O275" s="182"/>
      <c r="P275" s="182"/>
      <c r="Q275" s="182"/>
    </row>
    <row r="276" spans="1:17" ht="15.75" customHeight="1" x14ac:dyDescent="0.25">
      <c r="A276" s="182"/>
      <c r="B276" s="182"/>
      <c r="C276" s="182"/>
      <c r="D276" s="182"/>
      <c r="E276" s="182"/>
      <c r="F276" s="182"/>
      <c r="G276" s="182"/>
      <c r="H276" s="182"/>
      <c r="I276" s="182"/>
      <c r="J276" s="182"/>
      <c r="K276" s="182"/>
      <c r="L276" s="182"/>
      <c r="M276" s="182"/>
      <c r="N276" s="182"/>
      <c r="O276" s="182"/>
      <c r="P276" s="182"/>
      <c r="Q276" s="182"/>
    </row>
    <row r="277" spans="1:17" ht="15.75" customHeight="1" x14ac:dyDescent="0.25">
      <c r="A277" s="182"/>
      <c r="B277" s="182"/>
      <c r="C277" s="182"/>
      <c r="D277" s="182"/>
      <c r="E277" s="182"/>
      <c r="F277" s="182"/>
      <c r="G277" s="182"/>
      <c r="H277" s="182"/>
      <c r="I277" s="182"/>
      <c r="J277" s="182"/>
      <c r="K277" s="182"/>
      <c r="L277" s="182"/>
      <c r="M277" s="182"/>
      <c r="N277" s="182"/>
      <c r="O277" s="182"/>
      <c r="P277" s="182"/>
      <c r="Q277" s="182"/>
    </row>
    <row r="278" spans="1:17" ht="15.75" customHeight="1" x14ac:dyDescent="0.25">
      <c r="A278" s="182"/>
      <c r="B278" s="182"/>
      <c r="C278" s="182"/>
      <c r="D278" s="182"/>
      <c r="E278" s="182"/>
      <c r="F278" s="182"/>
      <c r="G278" s="182"/>
      <c r="H278" s="182"/>
      <c r="I278" s="182"/>
      <c r="J278" s="182"/>
      <c r="K278" s="182"/>
      <c r="L278" s="182"/>
      <c r="M278" s="182"/>
      <c r="N278" s="182"/>
      <c r="O278" s="182"/>
      <c r="P278" s="182"/>
      <c r="Q278" s="182"/>
    </row>
    <row r="279" spans="1:17" ht="15.75" customHeight="1" x14ac:dyDescent="0.25">
      <c r="A279" s="182"/>
      <c r="B279" s="182"/>
      <c r="C279" s="182"/>
      <c r="D279" s="182"/>
      <c r="E279" s="182"/>
      <c r="F279" s="182"/>
      <c r="G279" s="182"/>
      <c r="H279" s="182"/>
      <c r="I279" s="182"/>
      <c r="J279" s="182"/>
      <c r="K279" s="182"/>
      <c r="L279" s="182"/>
      <c r="M279" s="182"/>
      <c r="N279" s="182"/>
      <c r="O279" s="182"/>
      <c r="P279" s="182"/>
      <c r="Q279" s="182"/>
    </row>
    <row r="280" spans="1:17" ht="15.75" customHeight="1" x14ac:dyDescent="0.25">
      <c r="A280" s="182"/>
      <c r="B280" s="182"/>
      <c r="C280" s="182"/>
      <c r="D280" s="182"/>
      <c r="E280" s="182"/>
      <c r="F280" s="182"/>
      <c r="G280" s="182"/>
      <c r="H280" s="182"/>
      <c r="I280" s="182"/>
      <c r="J280" s="182"/>
      <c r="K280" s="182"/>
      <c r="L280" s="182"/>
      <c r="M280" s="182"/>
      <c r="N280" s="182"/>
      <c r="O280" s="182"/>
      <c r="P280" s="182"/>
      <c r="Q280" s="182"/>
    </row>
    <row r="281" spans="1:17" ht="15.75" customHeight="1" x14ac:dyDescent="0.25">
      <c r="A281" s="182"/>
      <c r="B281" s="182"/>
      <c r="C281" s="182"/>
      <c r="D281" s="182"/>
      <c r="E281" s="182"/>
      <c r="F281" s="182"/>
      <c r="G281" s="182"/>
      <c r="H281" s="182"/>
      <c r="I281" s="182"/>
      <c r="J281" s="182"/>
      <c r="K281" s="182"/>
      <c r="L281" s="182"/>
      <c r="M281" s="182"/>
      <c r="N281" s="182"/>
      <c r="O281" s="182"/>
      <c r="P281" s="182"/>
      <c r="Q281" s="182"/>
    </row>
    <row r="282" spans="1:17" ht="15.75" customHeight="1" x14ac:dyDescent="0.25">
      <c r="A282" s="182"/>
      <c r="B282" s="182"/>
      <c r="C282" s="182"/>
      <c r="D282" s="182"/>
      <c r="E282" s="182"/>
      <c r="F282" s="182"/>
      <c r="G282" s="182"/>
      <c r="H282" s="182"/>
      <c r="I282" s="182"/>
      <c r="J282" s="182"/>
      <c r="K282" s="182"/>
      <c r="L282" s="182"/>
      <c r="M282" s="182"/>
      <c r="N282" s="182"/>
      <c r="O282" s="182"/>
      <c r="P282" s="182"/>
      <c r="Q282" s="182"/>
    </row>
    <row r="283" spans="1:17" ht="15.75" customHeight="1" x14ac:dyDescent="0.25">
      <c r="A283" s="182"/>
      <c r="B283" s="182"/>
      <c r="C283" s="182"/>
      <c r="D283" s="182"/>
      <c r="E283" s="182"/>
      <c r="F283" s="182"/>
      <c r="G283" s="182"/>
      <c r="H283" s="182"/>
      <c r="I283" s="182"/>
      <c r="J283" s="182"/>
      <c r="K283" s="182"/>
      <c r="L283" s="182"/>
      <c r="M283" s="182"/>
      <c r="N283" s="182"/>
      <c r="O283" s="182"/>
      <c r="P283" s="182"/>
      <c r="Q283" s="182"/>
    </row>
    <row r="284" spans="1:17" ht="15.75" customHeight="1" x14ac:dyDescent="0.25">
      <c r="A284" s="182"/>
      <c r="B284" s="182"/>
      <c r="C284" s="182"/>
      <c r="D284" s="182"/>
      <c r="E284" s="182"/>
      <c r="F284" s="182"/>
      <c r="G284" s="182"/>
      <c r="H284" s="182"/>
      <c r="I284" s="182"/>
      <c r="J284" s="182"/>
      <c r="K284" s="182"/>
      <c r="L284" s="182"/>
      <c r="M284" s="182"/>
      <c r="N284" s="182"/>
      <c r="O284" s="182"/>
      <c r="P284" s="182"/>
      <c r="Q284" s="182"/>
    </row>
    <row r="285" spans="1:17" ht="15.75" customHeight="1" x14ac:dyDescent="0.25">
      <c r="A285" s="182"/>
      <c r="B285" s="182"/>
      <c r="C285" s="182"/>
      <c r="D285" s="182"/>
      <c r="E285" s="182"/>
      <c r="F285" s="182"/>
      <c r="G285" s="182"/>
      <c r="H285" s="182"/>
      <c r="I285" s="182"/>
      <c r="J285" s="182"/>
      <c r="K285" s="182"/>
      <c r="L285" s="182"/>
      <c r="M285" s="182"/>
      <c r="N285" s="182"/>
      <c r="O285" s="182"/>
      <c r="P285" s="182"/>
      <c r="Q285" s="182"/>
    </row>
    <row r="286" spans="1:17" ht="15.75" customHeight="1" x14ac:dyDescent="0.25">
      <c r="A286" s="182"/>
      <c r="B286" s="182"/>
      <c r="C286" s="182"/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</row>
    <row r="287" spans="1:17" ht="15.75" customHeight="1" x14ac:dyDescent="0.25">
      <c r="A287" s="182"/>
      <c r="B287" s="182"/>
      <c r="C287" s="182"/>
      <c r="D287" s="182"/>
      <c r="E287" s="182"/>
      <c r="F287" s="182"/>
      <c r="G287" s="182"/>
      <c r="H287" s="182"/>
      <c r="I287" s="182"/>
      <c r="J287" s="182"/>
      <c r="K287" s="182"/>
      <c r="L287" s="182"/>
      <c r="M287" s="182"/>
      <c r="N287" s="182"/>
      <c r="O287" s="182"/>
      <c r="P287" s="182"/>
      <c r="Q287" s="182"/>
    </row>
    <row r="288" spans="1:17" ht="15.75" customHeight="1" x14ac:dyDescent="0.25">
      <c r="A288" s="182"/>
      <c r="B288" s="182"/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2"/>
      <c r="Q288" s="182"/>
    </row>
    <row r="289" spans="1:17" ht="15.75" customHeight="1" x14ac:dyDescent="0.25">
      <c r="A289" s="182"/>
      <c r="B289" s="182"/>
      <c r="C289" s="182"/>
      <c r="D289" s="182"/>
      <c r="E289" s="182"/>
      <c r="F289" s="182"/>
      <c r="G289" s="182"/>
      <c r="H289" s="182"/>
      <c r="I289" s="182"/>
      <c r="J289" s="182"/>
      <c r="K289" s="182"/>
      <c r="L289" s="182"/>
      <c r="M289" s="182"/>
      <c r="N289" s="182"/>
      <c r="O289" s="182"/>
      <c r="P289" s="182"/>
      <c r="Q289" s="182"/>
    </row>
    <row r="290" spans="1:17" ht="15.75" customHeight="1" x14ac:dyDescent="0.25">
      <c r="A290" s="182"/>
      <c r="B290" s="182"/>
      <c r="C290" s="182"/>
      <c r="D290" s="182"/>
      <c r="E290" s="182"/>
      <c r="F290" s="182"/>
      <c r="G290" s="182"/>
      <c r="H290" s="182"/>
      <c r="I290" s="182"/>
      <c r="J290" s="182"/>
      <c r="K290" s="182"/>
      <c r="L290" s="182"/>
      <c r="M290" s="182"/>
      <c r="N290" s="182"/>
      <c r="O290" s="182"/>
      <c r="P290" s="182"/>
      <c r="Q290" s="182"/>
    </row>
    <row r="291" spans="1:17" ht="15.75" customHeight="1" x14ac:dyDescent="0.25">
      <c r="A291" s="182"/>
      <c r="B291" s="182"/>
      <c r="C291" s="182"/>
      <c r="D291" s="182"/>
      <c r="E291" s="182"/>
      <c r="F291" s="182"/>
      <c r="G291" s="182"/>
      <c r="H291" s="182"/>
      <c r="I291" s="182"/>
      <c r="J291" s="182"/>
      <c r="K291" s="182"/>
      <c r="L291" s="182"/>
      <c r="M291" s="182"/>
      <c r="N291" s="182"/>
      <c r="O291" s="182"/>
      <c r="P291" s="182"/>
      <c r="Q291" s="182"/>
    </row>
    <row r="292" spans="1:17" ht="15.75" customHeight="1" x14ac:dyDescent="0.25">
      <c r="A292" s="182"/>
      <c r="B292" s="182"/>
      <c r="C292" s="182"/>
      <c r="D292" s="182"/>
      <c r="E292" s="182"/>
      <c r="F292" s="182"/>
      <c r="G292" s="182"/>
      <c r="H292" s="182"/>
      <c r="I292" s="182"/>
      <c r="J292" s="182"/>
      <c r="K292" s="182"/>
      <c r="L292" s="182"/>
      <c r="M292" s="182"/>
      <c r="N292" s="182"/>
      <c r="O292" s="182"/>
      <c r="P292" s="182"/>
      <c r="Q292" s="182"/>
    </row>
    <row r="293" spans="1:17" ht="15.75" customHeight="1" x14ac:dyDescent="0.25">
      <c r="A293" s="182"/>
      <c r="B293" s="182"/>
      <c r="C293" s="182"/>
      <c r="D293" s="182"/>
      <c r="E293" s="182"/>
      <c r="F293" s="182"/>
      <c r="G293" s="182"/>
      <c r="H293" s="182"/>
      <c r="I293" s="182"/>
      <c r="J293" s="182"/>
      <c r="K293" s="182"/>
      <c r="L293" s="182"/>
      <c r="M293" s="182"/>
      <c r="N293" s="182"/>
      <c r="O293" s="182"/>
      <c r="P293" s="182"/>
      <c r="Q293" s="182"/>
    </row>
    <row r="294" spans="1:17" ht="15.75" customHeight="1" x14ac:dyDescent="0.25">
      <c r="A294" s="182"/>
      <c r="B294" s="182"/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2"/>
      <c r="Q294" s="182"/>
    </row>
    <row r="295" spans="1:17" ht="15.75" customHeight="1" x14ac:dyDescent="0.25">
      <c r="A295" s="182"/>
      <c r="B295" s="182"/>
      <c r="C295" s="182"/>
      <c r="D295" s="182"/>
      <c r="E295" s="182"/>
      <c r="F295" s="182"/>
      <c r="G295" s="182"/>
      <c r="H295" s="182"/>
      <c r="I295" s="182"/>
      <c r="J295" s="182"/>
      <c r="K295" s="182"/>
      <c r="L295" s="182"/>
      <c r="M295" s="182"/>
      <c r="N295" s="182"/>
      <c r="O295" s="182"/>
      <c r="P295" s="182"/>
      <c r="Q295" s="182"/>
    </row>
    <row r="296" spans="1:17" ht="15.75" customHeight="1" x14ac:dyDescent="0.25">
      <c r="A296" s="182"/>
      <c r="B296" s="182"/>
      <c r="C296" s="182"/>
      <c r="D296" s="182"/>
      <c r="E296" s="182"/>
      <c r="F296" s="182"/>
      <c r="G296" s="182"/>
      <c r="H296" s="182"/>
      <c r="I296" s="182"/>
      <c r="J296" s="182"/>
      <c r="K296" s="182"/>
      <c r="L296" s="182"/>
      <c r="M296" s="182"/>
      <c r="N296" s="182"/>
      <c r="O296" s="182"/>
      <c r="P296" s="182"/>
      <c r="Q296" s="182"/>
    </row>
    <row r="297" spans="1:17" ht="15.75" customHeight="1" x14ac:dyDescent="0.25">
      <c r="A297" s="182"/>
      <c r="B297" s="182"/>
      <c r="C297" s="182"/>
      <c r="D297" s="182"/>
      <c r="E297" s="182"/>
      <c r="F297" s="182"/>
      <c r="G297" s="182"/>
      <c r="H297" s="182"/>
      <c r="I297" s="182"/>
      <c r="J297" s="182"/>
      <c r="K297" s="182"/>
      <c r="L297" s="182"/>
      <c r="M297" s="182"/>
      <c r="N297" s="182"/>
      <c r="O297" s="182"/>
      <c r="P297" s="182"/>
      <c r="Q297" s="182"/>
    </row>
    <row r="298" spans="1:17" ht="15.75" customHeight="1" x14ac:dyDescent="0.25">
      <c r="A298" s="182"/>
      <c r="B298" s="182"/>
      <c r="C298" s="182"/>
      <c r="D298" s="182"/>
      <c r="E298" s="182"/>
      <c r="F298" s="182"/>
      <c r="G298" s="182"/>
      <c r="H298" s="182"/>
      <c r="I298" s="182"/>
      <c r="J298" s="182"/>
      <c r="K298" s="182"/>
      <c r="L298" s="182"/>
      <c r="M298" s="182"/>
      <c r="N298" s="182"/>
      <c r="O298" s="182"/>
      <c r="P298" s="182"/>
      <c r="Q298" s="182"/>
    </row>
    <row r="299" spans="1:17" ht="15.75" customHeight="1" x14ac:dyDescent="0.25">
      <c r="A299" s="182"/>
      <c r="B299" s="182"/>
      <c r="C299" s="182"/>
      <c r="D299" s="182"/>
      <c r="E299" s="182"/>
      <c r="F299" s="182"/>
      <c r="G299" s="182"/>
      <c r="H299" s="182"/>
      <c r="I299" s="182"/>
      <c r="J299" s="182"/>
      <c r="K299" s="182"/>
      <c r="L299" s="182"/>
      <c r="M299" s="182"/>
      <c r="N299" s="182"/>
      <c r="O299" s="182"/>
      <c r="P299" s="182"/>
      <c r="Q299" s="182"/>
    </row>
    <row r="300" spans="1:17" ht="15.75" customHeight="1" x14ac:dyDescent="0.25">
      <c r="A300" s="182"/>
      <c r="B300" s="182"/>
      <c r="C300" s="182"/>
      <c r="D300" s="182"/>
      <c r="E300" s="182"/>
      <c r="F300" s="182"/>
      <c r="G300" s="182"/>
      <c r="H300" s="182"/>
      <c r="I300" s="182"/>
      <c r="J300" s="182"/>
      <c r="K300" s="182"/>
      <c r="L300" s="182"/>
      <c r="M300" s="182"/>
      <c r="N300" s="182"/>
      <c r="O300" s="182"/>
      <c r="P300" s="182"/>
      <c r="Q300" s="182"/>
    </row>
    <row r="301" spans="1:17" ht="15.75" customHeight="1" x14ac:dyDescent="0.25">
      <c r="A301" s="182"/>
      <c r="B301" s="182"/>
      <c r="C301" s="182"/>
      <c r="D301" s="182"/>
      <c r="E301" s="182"/>
      <c r="F301" s="182"/>
      <c r="G301" s="182"/>
      <c r="H301" s="182"/>
      <c r="I301" s="182"/>
      <c r="J301" s="182"/>
      <c r="K301" s="182"/>
      <c r="L301" s="182"/>
      <c r="M301" s="182"/>
      <c r="N301" s="182"/>
      <c r="O301" s="182"/>
      <c r="P301" s="182"/>
      <c r="Q301" s="182"/>
    </row>
    <row r="302" spans="1:17" ht="15.75" customHeight="1" x14ac:dyDescent="0.25">
      <c r="A302" s="182"/>
      <c r="B302" s="182"/>
      <c r="C302" s="182"/>
      <c r="D302" s="182"/>
      <c r="E302" s="182"/>
      <c r="F302" s="182"/>
      <c r="G302" s="182"/>
      <c r="H302" s="182"/>
      <c r="I302" s="182"/>
      <c r="J302" s="182"/>
      <c r="K302" s="182"/>
      <c r="L302" s="182"/>
      <c r="M302" s="182"/>
      <c r="N302" s="182"/>
      <c r="O302" s="182"/>
      <c r="P302" s="182"/>
      <c r="Q302" s="182"/>
    </row>
    <row r="303" spans="1:17" ht="15.75" customHeight="1" x14ac:dyDescent="0.25">
      <c r="A303" s="182"/>
      <c r="B303" s="182"/>
      <c r="C303" s="182"/>
      <c r="D303" s="182"/>
      <c r="E303" s="182"/>
      <c r="F303" s="182"/>
      <c r="G303" s="182"/>
      <c r="H303" s="182"/>
      <c r="I303" s="182"/>
      <c r="J303" s="182"/>
      <c r="K303" s="182"/>
      <c r="L303" s="182"/>
      <c r="M303" s="182"/>
      <c r="N303" s="182"/>
      <c r="O303" s="182"/>
      <c r="P303" s="182"/>
      <c r="Q303" s="182"/>
    </row>
    <row r="304" spans="1:17" ht="15.75" customHeight="1" x14ac:dyDescent="0.25">
      <c r="A304" s="182"/>
      <c r="B304" s="182"/>
      <c r="C304" s="182"/>
      <c r="D304" s="182"/>
      <c r="E304" s="182"/>
      <c r="F304" s="182"/>
      <c r="G304" s="182"/>
      <c r="H304" s="182"/>
      <c r="I304" s="182"/>
      <c r="J304" s="182"/>
      <c r="K304" s="182"/>
      <c r="L304" s="182"/>
      <c r="M304" s="182"/>
      <c r="N304" s="182"/>
      <c r="O304" s="182"/>
      <c r="P304" s="182"/>
      <c r="Q304" s="182"/>
    </row>
    <row r="305" spans="1:17" ht="15.75" customHeight="1" x14ac:dyDescent="0.25">
      <c r="A305" s="182"/>
      <c r="B305" s="182"/>
      <c r="C305" s="182"/>
      <c r="D305" s="182"/>
      <c r="E305" s="182"/>
      <c r="F305" s="182"/>
      <c r="G305" s="182"/>
      <c r="H305" s="182"/>
      <c r="I305" s="182"/>
      <c r="J305" s="182"/>
      <c r="K305" s="182"/>
      <c r="L305" s="182"/>
      <c r="M305" s="182"/>
      <c r="N305" s="182"/>
      <c r="O305" s="182"/>
      <c r="P305" s="182"/>
      <c r="Q305" s="182"/>
    </row>
    <row r="306" spans="1:17" ht="15.75" customHeight="1" x14ac:dyDescent="0.25">
      <c r="A306" s="182"/>
      <c r="B306" s="182"/>
      <c r="C306" s="182"/>
      <c r="D306" s="182"/>
      <c r="E306" s="182"/>
      <c r="F306" s="182"/>
      <c r="G306" s="182"/>
      <c r="H306" s="182"/>
      <c r="I306" s="182"/>
      <c r="J306" s="182"/>
      <c r="K306" s="182"/>
      <c r="L306" s="182"/>
      <c r="M306" s="182"/>
      <c r="N306" s="182"/>
      <c r="O306" s="182"/>
      <c r="P306" s="182"/>
      <c r="Q306" s="182"/>
    </row>
    <row r="307" spans="1:17" ht="15.75" customHeight="1" x14ac:dyDescent="0.25">
      <c r="A307" s="182"/>
      <c r="B307" s="182"/>
      <c r="C307" s="182"/>
      <c r="D307" s="182"/>
      <c r="E307" s="182"/>
      <c r="F307" s="182"/>
      <c r="G307" s="182"/>
      <c r="H307" s="182"/>
      <c r="I307" s="182"/>
      <c r="J307" s="182"/>
      <c r="K307" s="182"/>
      <c r="L307" s="182"/>
      <c r="M307" s="182"/>
      <c r="N307" s="182"/>
      <c r="O307" s="182"/>
      <c r="P307" s="182"/>
      <c r="Q307" s="182"/>
    </row>
    <row r="308" spans="1:17" ht="15.75" customHeight="1" x14ac:dyDescent="0.25">
      <c r="A308" s="182"/>
      <c r="B308" s="182"/>
      <c r="C308" s="182"/>
      <c r="D308" s="182"/>
      <c r="E308" s="182"/>
      <c r="F308" s="182"/>
      <c r="G308" s="182"/>
      <c r="H308" s="182"/>
      <c r="I308" s="182"/>
      <c r="J308" s="182"/>
      <c r="K308" s="182"/>
      <c r="L308" s="182"/>
      <c r="M308" s="182"/>
      <c r="N308" s="182"/>
      <c r="O308" s="182"/>
      <c r="P308" s="182"/>
      <c r="Q308" s="182"/>
    </row>
    <row r="309" spans="1:17" ht="15.75" customHeight="1" x14ac:dyDescent="0.25">
      <c r="A309" s="182"/>
      <c r="B309" s="182"/>
      <c r="C309" s="182"/>
      <c r="D309" s="182"/>
      <c r="E309" s="182"/>
      <c r="F309" s="182"/>
      <c r="G309" s="182"/>
      <c r="H309" s="182"/>
      <c r="I309" s="182"/>
      <c r="J309" s="182"/>
      <c r="K309" s="182"/>
      <c r="L309" s="182"/>
      <c r="M309" s="182"/>
      <c r="N309" s="182"/>
      <c r="O309" s="182"/>
      <c r="P309" s="182"/>
      <c r="Q309" s="182"/>
    </row>
    <row r="310" spans="1:17" ht="15.75" customHeight="1" x14ac:dyDescent="0.25">
      <c r="A310" s="182"/>
      <c r="B310" s="182"/>
      <c r="C310" s="182"/>
      <c r="D310" s="182"/>
      <c r="E310" s="182"/>
      <c r="F310" s="182"/>
      <c r="G310" s="182"/>
      <c r="H310" s="182"/>
      <c r="I310" s="182"/>
      <c r="J310" s="182"/>
      <c r="K310" s="182"/>
      <c r="L310" s="182"/>
      <c r="M310" s="182"/>
      <c r="N310" s="182"/>
      <c r="O310" s="182"/>
      <c r="P310" s="182"/>
      <c r="Q310" s="182"/>
    </row>
    <row r="311" spans="1:17" ht="15.75" customHeight="1" x14ac:dyDescent="0.25">
      <c r="A311" s="182"/>
      <c r="B311" s="182"/>
      <c r="C311" s="182"/>
      <c r="D311" s="182"/>
      <c r="E311" s="182"/>
      <c r="F311" s="182"/>
      <c r="G311" s="182"/>
      <c r="H311" s="182"/>
      <c r="I311" s="182"/>
      <c r="J311" s="182"/>
      <c r="K311" s="182"/>
      <c r="L311" s="182"/>
      <c r="M311" s="182"/>
      <c r="N311" s="182"/>
      <c r="O311" s="182"/>
      <c r="P311" s="182"/>
      <c r="Q311" s="182"/>
    </row>
    <row r="312" spans="1:17" ht="15.75" customHeight="1" x14ac:dyDescent="0.25">
      <c r="A312" s="182"/>
      <c r="B312" s="182"/>
      <c r="C312" s="182"/>
      <c r="D312" s="182"/>
      <c r="E312" s="182"/>
      <c r="F312" s="182"/>
      <c r="G312" s="182"/>
      <c r="H312" s="182"/>
      <c r="I312" s="182"/>
      <c r="J312" s="182"/>
      <c r="K312" s="182"/>
      <c r="L312" s="182"/>
      <c r="M312" s="182"/>
      <c r="N312" s="182"/>
      <c r="O312" s="182"/>
      <c r="P312" s="182"/>
      <c r="Q312" s="182"/>
    </row>
    <row r="313" spans="1:17" ht="15.75" customHeight="1" x14ac:dyDescent="0.25">
      <c r="A313" s="182"/>
      <c r="B313" s="182"/>
      <c r="C313" s="182"/>
      <c r="D313" s="182"/>
      <c r="E313" s="182"/>
      <c r="F313" s="182"/>
      <c r="G313" s="182"/>
      <c r="H313" s="182"/>
      <c r="I313" s="182"/>
      <c r="J313" s="182"/>
      <c r="K313" s="182"/>
      <c r="L313" s="182"/>
      <c r="M313" s="182"/>
      <c r="N313" s="182"/>
      <c r="O313" s="182"/>
      <c r="P313" s="182"/>
      <c r="Q313" s="182"/>
    </row>
    <row r="314" spans="1:17" ht="15.75" customHeight="1" x14ac:dyDescent="0.25">
      <c r="A314" s="182"/>
      <c r="B314" s="182"/>
      <c r="C314" s="182"/>
      <c r="D314" s="182"/>
      <c r="E314" s="182"/>
      <c r="F314" s="182"/>
      <c r="G314" s="182"/>
      <c r="H314" s="182"/>
      <c r="I314" s="182"/>
      <c r="J314" s="182"/>
      <c r="K314" s="182"/>
      <c r="L314" s="182"/>
      <c r="M314" s="182"/>
      <c r="N314" s="182"/>
      <c r="O314" s="182"/>
      <c r="P314" s="182"/>
      <c r="Q314" s="182"/>
    </row>
    <row r="315" spans="1:17" ht="15.75" customHeight="1" x14ac:dyDescent="0.25">
      <c r="A315" s="182"/>
      <c r="B315" s="182"/>
      <c r="C315" s="182"/>
      <c r="D315" s="182"/>
      <c r="E315" s="182"/>
      <c r="F315" s="182"/>
      <c r="G315" s="182"/>
      <c r="H315" s="182"/>
      <c r="I315" s="182"/>
      <c r="J315" s="182"/>
      <c r="K315" s="182"/>
      <c r="L315" s="182"/>
      <c r="M315" s="182"/>
      <c r="N315" s="182"/>
      <c r="O315" s="182"/>
      <c r="P315" s="182"/>
      <c r="Q315" s="182"/>
    </row>
    <row r="316" spans="1:17" ht="15.75" customHeight="1" x14ac:dyDescent="0.25">
      <c r="A316" s="182"/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  <c r="L316" s="182"/>
      <c r="M316" s="182"/>
      <c r="N316" s="182"/>
      <c r="O316" s="182"/>
      <c r="P316" s="182"/>
      <c r="Q316" s="182"/>
    </row>
    <row r="317" spans="1:17" ht="15.75" customHeight="1" x14ac:dyDescent="0.25">
      <c r="A317" s="182"/>
      <c r="B317" s="182"/>
      <c r="C317" s="182"/>
      <c r="D317" s="182"/>
      <c r="E317" s="182"/>
      <c r="F317" s="182"/>
      <c r="G317" s="182"/>
      <c r="H317" s="182"/>
      <c r="I317" s="182"/>
      <c r="J317" s="182"/>
      <c r="K317" s="182"/>
      <c r="L317" s="182"/>
      <c r="M317" s="182"/>
      <c r="N317" s="182"/>
      <c r="O317" s="182"/>
      <c r="P317" s="182"/>
      <c r="Q317" s="182"/>
    </row>
    <row r="318" spans="1:17" ht="15.75" customHeight="1" x14ac:dyDescent="0.25">
      <c r="A318" s="182"/>
      <c r="B318" s="182"/>
      <c r="C318" s="182"/>
      <c r="D318" s="182"/>
      <c r="E318" s="182"/>
      <c r="F318" s="182"/>
      <c r="G318" s="182"/>
      <c r="H318" s="182"/>
      <c r="I318" s="182"/>
      <c r="J318" s="182"/>
      <c r="K318" s="182"/>
      <c r="L318" s="182"/>
      <c r="M318" s="182"/>
      <c r="N318" s="182"/>
      <c r="O318" s="182"/>
      <c r="P318" s="182"/>
      <c r="Q318" s="182"/>
    </row>
    <row r="319" spans="1:17" ht="15.75" customHeight="1" x14ac:dyDescent="0.25">
      <c r="A319" s="182"/>
      <c r="B319" s="182"/>
      <c r="C319" s="182"/>
      <c r="D319" s="182"/>
      <c r="E319" s="182"/>
      <c r="F319" s="182"/>
      <c r="G319" s="182"/>
      <c r="H319" s="182"/>
      <c r="I319" s="182"/>
      <c r="J319" s="182"/>
      <c r="K319" s="182"/>
      <c r="L319" s="182"/>
      <c r="M319" s="182"/>
      <c r="N319" s="182"/>
      <c r="O319" s="182"/>
      <c r="P319" s="182"/>
      <c r="Q319" s="182"/>
    </row>
    <row r="320" spans="1:17" ht="15.75" customHeight="1" x14ac:dyDescent="0.25">
      <c r="A320" s="182"/>
      <c r="B320" s="182"/>
      <c r="C320" s="182"/>
      <c r="D320" s="182"/>
      <c r="E320" s="182"/>
      <c r="F320" s="182"/>
      <c r="G320" s="182"/>
      <c r="H320" s="182"/>
      <c r="I320" s="182"/>
      <c r="J320" s="182"/>
      <c r="K320" s="182"/>
      <c r="L320" s="182"/>
      <c r="M320" s="182"/>
      <c r="N320" s="182"/>
      <c r="O320" s="182"/>
      <c r="P320" s="182"/>
      <c r="Q320" s="182"/>
    </row>
    <row r="321" spans="1:17" ht="15.75" customHeight="1" x14ac:dyDescent="0.25">
      <c r="A321" s="182"/>
      <c r="B321" s="182"/>
      <c r="C321" s="182"/>
      <c r="D321" s="182"/>
      <c r="E321" s="182"/>
      <c r="F321" s="182"/>
      <c r="G321" s="182"/>
      <c r="H321" s="182"/>
      <c r="I321" s="182"/>
      <c r="J321" s="182"/>
      <c r="K321" s="182"/>
      <c r="L321" s="182"/>
      <c r="M321" s="182"/>
      <c r="N321" s="182"/>
      <c r="O321" s="182"/>
      <c r="P321" s="182"/>
      <c r="Q321" s="182"/>
    </row>
    <row r="322" spans="1:17" ht="15.75" customHeight="1" x14ac:dyDescent="0.25">
      <c r="A322" s="182"/>
      <c r="B322" s="182"/>
      <c r="C322" s="182"/>
      <c r="D322" s="182"/>
      <c r="E322" s="182"/>
      <c r="F322" s="182"/>
      <c r="G322" s="182"/>
      <c r="H322" s="182"/>
      <c r="I322" s="182"/>
      <c r="J322" s="182"/>
      <c r="K322" s="182"/>
      <c r="L322" s="182"/>
      <c r="M322" s="182"/>
      <c r="N322" s="182"/>
      <c r="O322" s="182"/>
      <c r="P322" s="182"/>
      <c r="Q322" s="182"/>
    </row>
    <row r="323" spans="1:17" ht="15.75" customHeight="1" x14ac:dyDescent="0.25">
      <c r="A323" s="182"/>
      <c r="B323" s="182"/>
      <c r="C323" s="182"/>
      <c r="D323" s="182"/>
      <c r="E323" s="182"/>
      <c r="F323" s="182"/>
      <c r="G323" s="182"/>
      <c r="H323" s="182"/>
      <c r="I323" s="182"/>
      <c r="J323" s="182"/>
      <c r="K323" s="182"/>
      <c r="L323" s="182"/>
      <c r="M323" s="182"/>
      <c r="N323" s="182"/>
      <c r="O323" s="182"/>
      <c r="P323" s="182"/>
      <c r="Q323" s="182"/>
    </row>
    <row r="324" spans="1:17" ht="15.75" customHeight="1" x14ac:dyDescent="0.25">
      <c r="A324" s="182"/>
      <c r="B324" s="182"/>
      <c r="C324" s="182"/>
      <c r="D324" s="182"/>
      <c r="E324" s="182"/>
      <c r="F324" s="182"/>
      <c r="G324" s="182"/>
      <c r="H324" s="182"/>
      <c r="I324" s="182"/>
      <c r="J324" s="182"/>
      <c r="K324" s="182"/>
      <c r="L324" s="182"/>
      <c r="M324" s="182"/>
      <c r="N324" s="182"/>
      <c r="O324" s="182"/>
      <c r="P324" s="182"/>
      <c r="Q324" s="182"/>
    </row>
    <row r="325" spans="1:17" ht="15.75" customHeight="1" x14ac:dyDescent="0.25">
      <c r="A325" s="182"/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</row>
    <row r="326" spans="1:17" ht="15.75" customHeight="1" x14ac:dyDescent="0.25">
      <c r="A326" s="182"/>
      <c r="B326" s="182"/>
      <c r="C326" s="182"/>
      <c r="D326" s="182"/>
      <c r="E326" s="182"/>
      <c r="F326" s="182"/>
      <c r="G326" s="182"/>
      <c r="H326" s="182"/>
      <c r="I326" s="182"/>
      <c r="J326" s="182"/>
      <c r="K326" s="182"/>
      <c r="L326" s="182"/>
      <c r="M326" s="182"/>
      <c r="N326" s="182"/>
      <c r="O326" s="182"/>
      <c r="P326" s="182"/>
      <c r="Q326" s="182"/>
    </row>
    <row r="327" spans="1:17" ht="15.75" customHeight="1" x14ac:dyDescent="0.25">
      <c r="A327" s="182"/>
      <c r="B327" s="182"/>
      <c r="C327" s="182"/>
      <c r="D327" s="182"/>
      <c r="E327" s="182"/>
      <c r="F327" s="182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</row>
    <row r="328" spans="1:17" ht="15.75" customHeight="1" x14ac:dyDescent="0.25">
      <c r="A328" s="182"/>
      <c r="B328" s="182"/>
      <c r="C328" s="182"/>
      <c r="D328" s="182"/>
      <c r="E328" s="182"/>
      <c r="F328" s="182"/>
      <c r="G328" s="182"/>
      <c r="H328" s="182"/>
      <c r="I328" s="182"/>
      <c r="J328" s="182"/>
      <c r="K328" s="182"/>
      <c r="L328" s="182"/>
      <c r="M328" s="182"/>
      <c r="N328" s="182"/>
      <c r="O328" s="182"/>
      <c r="P328" s="182"/>
      <c r="Q328" s="182"/>
    </row>
    <row r="329" spans="1:17" ht="15.75" customHeight="1" x14ac:dyDescent="0.25">
      <c r="A329" s="182"/>
      <c r="B329" s="182"/>
      <c r="C329" s="182"/>
      <c r="D329" s="182"/>
      <c r="E329" s="182"/>
      <c r="F329" s="182"/>
      <c r="G329" s="182"/>
      <c r="H329" s="182"/>
      <c r="I329" s="182"/>
      <c r="J329" s="182"/>
      <c r="K329" s="182"/>
      <c r="L329" s="182"/>
      <c r="M329" s="182"/>
      <c r="N329" s="182"/>
      <c r="O329" s="182"/>
      <c r="P329" s="182"/>
      <c r="Q329" s="182"/>
    </row>
    <row r="330" spans="1:17" ht="15.75" customHeight="1" x14ac:dyDescent="0.25">
      <c r="A330" s="182"/>
      <c r="B330" s="182"/>
      <c r="C330" s="182"/>
      <c r="D330" s="182"/>
      <c r="E330" s="182"/>
      <c r="F330" s="182"/>
      <c r="G330" s="182"/>
      <c r="H330" s="182"/>
      <c r="I330" s="182"/>
      <c r="J330" s="182"/>
      <c r="K330" s="182"/>
      <c r="L330" s="182"/>
      <c r="M330" s="182"/>
      <c r="N330" s="182"/>
      <c r="O330" s="182"/>
      <c r="P330" s="182"/>
      <c r="Q330" s="182"/>
    </row>
    <row r="331" spans="1:17" ht="15.75" customHeight="1" x14ac:dyDescent="0.25">
      <c r="A331" s="182"/>
      <c r="B331" s="182"/>
      <c r="C331" s="182"/>
      <c r="D331" s="182"/>
      <c r="E331" s="182"/>
      <c r="F331" s="182"/>
      <c r="G331" s="182"/>
      <c r="H331" s="182"/>
      <c r="I331" s="182"/>
      <c r="J331" s="182"/>
      <c r="K331" s="182"/>
      <c r="L331" s="182"/>
      <c r="M331" s="182"/>
      <c r="N331" s="182"/>
      <c r="O331" s="182"/>
      <c r="P331" s="182"/>
      <c r="Q331" s="182"/>
    </row>
    <row r="332" spans="1:17" ht="15.75" customHeight="1" x14ac:dyDescent="0.25">
      <c r="A332" s="182"/>
      <c r="B332" s="182"/>
      <c r="C332" s="182"/>
      <c r="D332" s="182"/>
      <c r="E332" s="182"/>
      <c r="F332" s="182"/>
      <c r="G332" s="182"/>
      <c r="H332" s="182"/>
      <c r="I332" s="182"/>
      <c r="J332" s="182"/>
      <c r="K332" s="182"/>
      <c r="L332" s="182"/>
      <c r="M332" s="182"/>
      <c r="N332" s="182"/>
      <c r="O332" s="182"/>
      <c r="P332" s="182"/>
      <c r="Q332" s="182"/>
    </row>
    <row r="333" spans="1:17" ht="15.75" customHeight="1" x14ac:dyDescent="0.25">
      <c r="A333" s="182"/>
      <c r="B333" s="182"/>
      <c r="C333" s="182"/>
      <c r="D333" s="182"/>
      <c r="E333" s="182"/>
      <c r="F333" s="182"/>
      <c r="G333" s="182"/>
      <c r="H333" s="182"/>
      <c r="I333" s="182"/>
      <c r="J333" s="182"/>
      <c r="K333" s="182"/>
      <c r="L333" s="182"/>
      <c r="M333" s="182"/>
      <c r="N333" s="182"/>
      <c r="O333" s="182"/>
      <c r="P333" s="182"/>
      <c r="Q333" s="182"/>
    </row>
    <row r="334" spans="1:17" ht="15.75" customHeight="1" x14ac:dyDescent="0.25">
      <c r="A334" s="182"/>
      <c r="B334" s="182"/>
      <c r="C334" s="182"/>
      <c r="D334" s="182"/>
      <c r="E334" s="182"/>
      <c r="F334" s="182"/>
      <c r="G334" s="182"/>
      <c r="H334" s="182"/>
      <c r="I334" s="182"/>
      <c r="J334" s="182"/>
      <c r="K334" s="182"/>
      <c r="L334" s="182"/>
      <c r="M334" s="182"/>
      <c r="N334" s="182"/>
      <c r="O334" s="182"/>
      <c r="P334" s="182"/>
      <c r="Q334" s="182"/>
    </row>
    <row r="335" spans="1:17" ht="15.75" customHeight="1" x14ac:dyDescent="0.25">
      <c r="A335" s="182"/>
      <c r="B335" s="182"/>
      <c r="C335" s="182"/>
      <c r="D335" s="182"/>
      <c r="E335" s="182"/>
      <c r="F335" s="182"/>
      <c r="G335" s="182"/>
      <c r="H335" s="182"/>
      <c r="I335" s="182"/>
      <c r="J335" s="182"/>
      <c r="K335" s="182"/>
      <c r="L335" s="182"/>
      <c r="M335" s="182"/>
      <c r="N335" s="182"/>
      <c r="O335" s="182"/>
      <c r="P335" s="182"/>
      <c r="Q335" s="182"/>
    </row>
    <row r="336" spans="1:17" ht="15.75" customHeight="1" x14ac:dyDescent="0.25">
      <c r="A336" s="182"/>
      <c r="B336" s="182"/>
      <c r="C336" s="182"/>
      <c r="D336" s="182"/>
      <c r="E336" s="182"/>
      <c r="F336" s="182"/>
      <c r="G336" s="182"/>
      <c r="H336" s="182"/>
      <c r="I336" s="182"/>
      <c r="J336" s="182"/>
      <c r="K336" s="182"/>
      <c r="L336" s="182"/>
      <c r="M336" s="182"/>
      <c r="N336" s="182"/>
      <c r="O336" s="182"/>
      <c r="P336" s="182"/>
      <c r="Q336" s="182"/>
    </row>
    <row r="337" spans="1:17" ht="15.75" customHeight="1" x14ac:dyDescent="0.25">
      <c r="A337" s="182"/>
      <c r="B337" s="182"/>
      <c r="C337" s="182"/>
      <c r="D337" s="182"/>
      <c r="E337" s="182"/>
      <c r="F337" s="182"/>
      <c r="G337" s="182"/>
      <c r="H337" s="182"/>
      <c r="I337" s="182"/>
      <c r="J337" s="182"/>
      <c r="K337" s="182"/>
      <c r="L337" s="182"/>
      <c r="M337" s="182"/>
      <c r="N337" s="182"/>
      <c r="O337" s="182"/>
      <c r="P337" s="182"/>
      <c r="Q337" s="182"/>
    </row>
    <row r="338" spans="1:17" ht="15.75" customHeight="1" x14ac:dyDescent="0.25">
      <c r="A338" s="182"/>
      <c r="B338" s="182"/>
      <c r="C338" s="182"/>
      <c r="D338" s="182"/>
      <c r="E338" s="182"/>
      <c r="F338" s="182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</row>
    <row r="339" spans="1:17" ht="15.75" customHeight="1" x14ac:dyDescent="0.25">
      <c r="A339" s="182"/>
      <c r="B339" s="182"/>
      <c r="C339" s="182"/>
      <c r="D339" s="182"/>
      <c r="E339" s="182"/>
      <c r="F339" s="182"/>
      <c r="G339" s="182"/>
      <c r="H339" s="182"/>
      <c r="I339" s="182"/>
      <c r="J339" s="182"/>
      <c r="K339" s="182"/>
      <c r="L339" s="182"/>
      <c r="M339" s="182"/>
      <c r="N339" s="182"/>
      <c r="O339" s="182"/>
      <c r="P339" s="182"/>
      <c r="Q339" s="182"/>
    </row>
    <row r="340" spans="1:17" ht="15.75" customHeight="1" x14ac:dyDescent="0.25">
      <c r="A340" s="182"/>
      <c r="B340" s="182"/>
      <c r="C340" s="182"/>
      <c r="D340" s="182"/>
      <c r="E340" s="182"/>
      <c r="F340" s="182"/>
      <c r="G340" s="182"/>
      <c r="H340" s="182"/>
      <c r="I340" s="182"/>
      <c r="J340" s="182"/>
      <c r="K340" s="182"/>
      <c r="L340" s="182"/>
      <c r="M340" s="182"/>
      <c r="N340" s="182"/>
      <c r="O340" s="182"/>
      <c r="P340" s="182"/>
      <c r="Q340" s="182"/>
    </row>
    <row r="341" spans="1:17" ht="15.75" customHeight="1" x14ac:dyDescent="0.25">
      <c r="A341" s="182"/>
      <c r="B341" s="182"/>
      <c r="C341" s="182"/>
      <c r="D341" s="182"/>
      <c r="E341" s="182"/>
      <c r="F341" s="182"/>
      <c r="G341" s="182"/>
      <c r="H341" s="182"/>
      <c r="I341" s="182"/>
      <c r="J341" s="182"/>
      <c r="K341" s="182"/>
      <c r="L341" s="182"/>
      <c r="M341" s="182"/>
      <c r="N341" s="182"/>
      <c r="O341" s="182"/>
      <c r="P341" s="182"/>
      <c r="Q341" s="182"/>
    </row>
    <row r="342" spans="1:17" ht="15.75" customHeight="1" x14ac:dyDescent="0.25">
      <c r="A342" s="182"/>
      <c r="B342" s="182"/>
      <c r="C342" s="182"/>
      <c r="D342" s="182"/>
      <c r="E342" s="182"/>
      <c r="F342" s="182"/>
      <c r="G342" s="182"/>
      <c r="H342" s="182"/>
      <c r="I342" s="182"/>
      <c r="J342" s="182"/>
      <c r="K342" s="182"/>
      <c r="L342" s="182"/>
      <c r="M342" s="182"/>
      <c r="N342" s="182"/>
      <c r="O342" s="182"/>
      <c r="P342" s="182"/>
      <c r="Q342" s="182"/>
    </row>
    <row r="343" spans="1:17" ht="15.75" customHeight="1" x14ac:dyDescent="0.25">
      <c r="A343" s="182"/>
      <c r="B343" s="182"/>
      <c r="C343" s="182"/>
      <c r="D343" s="182"/>
      <c r="E343" s="182"/>
      <c r="F343" s="182"/>
      <c r="G343" s="182"/>
      <c r="H343" s="182"/>
      <c r="I343" s="182"/>
      <c r="J343" s="182"/>
      <c r="K343" s="182"/>
      <c r="L343" s="182"/>
      <c r="M343" s="182"/>
      <c r="N343" s="182"/>
      <c r="O343" s="182"/>
      <c r="P343" s="182"/>
      <c r="Q343" s="182"/>
    </row>
    <row r="344" spans="1:17" ht="15.75" customHeight="1" x14ac:dyDescent="0.25">
      <c r="A344" s="182"/>
      <c r="B344" s="182"/>
      <c r="C344" s="182"/>
      <c r="D344" s="182"/>
      <c r="E344" s="182"/>
      <c r="F344" s="182"/>
      <c r="G344" s="182"/>
      <c r="H344" s="182"/>
      <c r="I344" s="182"/>
      <c r="J344" s="182"/>
      <c r="K344" s="182"/>
      <c r="L344" s="182"/>
      <c r="M344" s="182"/>
      <c r="N344" s="182"/>
      <c r="O344" s="182"/>
      <c r="P344" s="182"/>
      <c r="Q344" s="182"/>
    </row>
    <row r="345" spans="1:17" ht="15.75" customHeight="1" x14ac:dyDescent="0.25">
      <c r="A345" s="182"/>
      <c r="B345" s="182"/>
      <c r="C345" s="182"/>
      <c r="D345" s="182"/>
      <c r="E345" s="182"/>
      <c r="F345" s="182"/>
      <c r="G345" s="182"/>
      <c r="H345" s="182"/>
      <c r="I345" s="182"/>
      <c r="J345" s="182"/>
      <c r="K345" s="182"/>
      <c r="L345" s="182"/>
      <c r="M345" s="182"/>
      <c r="N345" s="182"/>
      <c r="O345" s="182"/>
      <c r="P345" s="182"/>
      <c r="Q345" s="182"/>
    </row>
    <row r="346" spans="1:17" ht="15.75" customHeight="1" x14ac:dyDescent="0.25">
      <c r="A346" s="182"/>
      <c r="B346" s="182"/>
      <c r="C346" s="182"/>
      <c r="D346" s="182"/>
      <c r="E346" s="182"/>
      <c r="F346" s="182"/>
      <c r="G346" s="182"/>
      <c r="H346" s="182"/>
      <c r="I346" s="182"/>
      <c r="J346" s="182"/>
      <c r="K346" s="182"/>
      <c r="L346" s="182"/>
      <c r="M346" s="182"/>
      <c r="N346" s="182"/>
      <c r="O346" s="182"/>
      <c r="P346" s="182"/>
      <c r="Q346" s="182"/>
    </row>
    <row r="347" spans="1:17" ht="15.75" customHeight="1" x14ac:dyDescent="0.25">
      <c r="A347" s="182"/>
      <c r="B347" s="182"/>
      <c r="C347" s="182"/>
      <c r="D347" s="182"/>
      <c r="E347" s="182"/>
      <c r="F347" s="182"/>
      <c r="G347" s="182"/>
      <c r="H347" s="182"/>
      <c r="I347" s="182"/>
      <c r="J347" s="182"/>
      <c r="K347" s="182"/>
      <c r="L347" s="182"/>
      <c r="M347" s="182"/>
      <c r="N347" s="182"/>
      <c r="O347" s="182"/>
      <c r="P347" s="182"/>
      <c r="Q347" s="182"/>
    </row>
    <row r="348" spans="1:17" ht="15.75" customHeight="1" x14ac:dyDescent="0.25">
      <c r="A348" s="182"/>
      <c r="B348" s="182"/>
      <c r="C348" s="182"/>
      <c r="D348" s="182"/>
      <c r="E348" s="182"/>
      <c r="F348" s="182"/>
      <c r="G348" s="182"/>
      <c r="H348" s="182"/>
      <c r="I348" s="182"/>
      <c r="J348" s="182"/>
      <c r="K348" s="182"/>
      <c r="L348" s="182"/>
      <c r="M348" s="182"/>
      <c r="N348" s="182"/>
      <c r="O348" s="182"/>
      <c r="P348" s="182"/>
      <c r="Q348" s="182"/>
    </row>
    <row r="349" spans="1:17" ht="15.75" customHeight="1" x14ac:dyDescent="0.25">
      <c r="A349" s="182"/>
      <c r="B349" s="182"/>
      <c r="C349" s="182"/>
      <c r="D349" s="182"/>
      <c r="E349" s="182"/>
      <c r="F349" s="182"/>
      <c r="G349" s="182"/>
      <c r="H349" s="182"/>
      <c r="I349" s="182"/>
      <c r="J349" s="182"/>
      <c r="K349" s="182"/>
      <c r="L349" s="182"/>
      <c r="M349" s="182"/>
      <c r="N349" s="182"/>
      <c r="O349" s="182"/>
      <c r="P349" s="182"/>
      <c r="Q349" s="182"/>
    </row>
    <row r="350" spans="1:17" ht="15.75" customHeight="1" x14ac:dyDescent="0.25">
      <c r="A350" s="182"/>
      <c r="B350" s="182"/>
      <c r="C350" s="182"/>
      <c r="D350" s="182"/>
      <c r="E350" s="182"/>
      <c r="F350" s="182"/>
      <c r="G350" s="182"/>
      <c r="H350" s="182"/>
      <c r="I350" s="182"/>
      <c r="J350" s="182"/>
      <c r="K350" s="182"/>
      <c r="L350" s="182"/>
      <c r="M350" s="182"/>
      <c r="N350" s="182"/>
      <c r="O350" s="182"/>
      <c r="P350" s="182"/>
      <c r="Q350" s="182"/>
    </row>
    <row r="351" spans="1:17" ht="15.75" customHeight="1" x14ac:dyDescent="0.25">
      <c r="A351" s="182"/>
      <c r="B351" s="182"/>
      <c r="C351" s="182"/>
      <c r="D351" s="182"/>
      <c r="E351" s="182"/>
      <c r="F351" s="182"/>
      <c r="G351" s="182"/>
      <c r="H351" s="182"/>
      <c r="I351" s="182"/>
      <c r="J351" s="182"/>
      <c r="K351" s="182"/>
      <c r="L351" s="182"/>
      <c r="M351" s="182"/>
      <c r="N351" s="182"/>
      <c r="O351" s="182"/>
      <c r="P351" s="182"/>
      <c r="Q351" s="182"/>
    </row>
    <row r="352" spans="1:17" ht="15.75" customHeight="1" x14ac:dyDescent="0.25">
      <c r="A352" s="182"/>
      <c r="B352" s="182"/>
      <c r="C352" s="182"/>
      <c r="D352" s="182"/>
      <c r="E352" s="182"/>
      <c r="F352" s="182"/>
      <c r="G352" s="182"/>
      <c r="H352" s="182"/>
      <c r="I352" s="182"/>
      <c r="J352" s="182"/>
      <c r="K352" s="182"/>
      <c r="L352" s="182"/>
      <c r="M352" s="182"/>
      <c r="N352" s="182"/>
      <c r="O352" s="182"/>
      <c r="P352" s="182"/>
      <c r="Q352" s="182"/>
    </row>
    <row r="353" spans="1:17" ht="15.75" customHeight="1" x14ac:dyDescent="0.25">
      <c r="A353" s="182"/>
      <c r="B353" s="182"/>
      <c r="C353" s="182"/>
      <c r="D353" s="182"/>
      <c r="E353" s="182"/>
      <c r="F353" s="182"/>
      <c r="G353" s="182"/>
      <c r="H353" s="182"/>
      <c r="I353" s="182"/>
      <c r="J353" s="182"/>
      <c r="K353" s="182"/>
      <c r="L353" s="182"/>
      <c r="M353" s="182"/>
      <c r="N353" s="182"/>
      <c r="O353" s="182"/>
      <c r="P353" s="182"/>
      <c r="Q353" s="182"/>
    </row>
    <row r="354" spans="1:17" ht="15.75" customHeight="1" x14ac:dyDescent="0.25">
      <c r="A354" s="182"/>
      <c r="B354" s="182"/>
      <c r="C354" s="182"/>
      <c r="D354" s="182"/>
      <c r="E354" s="182"/>
      <c r="F354" s="182"/>
      <c r="G354" s="182"/>
      <c r="H354" s="182"/>
      <c r="I354" s="182"/>
      <c r="J354" s="182"/>
      <c r="K354" s="182"/>
      <c r="L354" s="182"/>
      <c r="M354" s="182"/>
      <c r="N354" s="182"/>
      <c r="O354" s="182"/>
      <c r="P354" s="182"/>
      <c r="Q354" s="182"/>
    </row>
    <row r="355" spans="1:17" ht="15.75" customHeight="1" x14ac:dyDescent="0.25">
      <c r="A355" s="182"/>
      <c r="B355" s="182"/>
      <c r="C355" s="182"/>
      <c r="D355" s="182"/>
      <c r="E355" s="182"/>
      <c r="F355" s="182"/>
      <c r="G355" s="182"/>
      <c r="H355" s="182"/>
      <c r="I355" s="182"/>
      <c r="J355" s="182"/>
      <c r="K355" s="182"/>
      <c r="L355" s="182"/>
      <c r="M355" s="182"/>
      <c r="N355" s="182"/>
      <c r="O355" s="182"/>
      <c r="P355" s="182"/>
      <c r="Q355" s="182"/>
    </row>
    <row r="356" spans="1:17" ht="15.75" customHeight="1" x14ac:dyDescent="0.25">
      <c r="A356" s="182"/>
      <c r="B356" s="182"/>
      <c r="C356" s="182"/>
      <c r="D356" s="182"/>
      <c r="E356" s="182"/>
      <c r="F356" s="182"/>
      <c r="G356" s="182"/>
      <c r="H356" s="182"/>
      <c r="I356" s="182"/>
      <c r="J356" s="182"/>
      <c r="K356" s="182"/>
      <c r="L356" s="182"/>
      <c r="M356" s="182"/>
      <c r="N356" s="182"/>
      <c r="O356" s="182"/>
      <c r="P356" s="182"/>
      <c r="Q356" s="182"/>
    </row>
    <row r="357" spans="1:17" ht="15.75" customHeight="1" x14ac:dyDescent="0.25">
      <c r="A357" s="182"/>
      <c r="B357" s="182"/>
      <c r="C357" s="182"/>
      <c r="D357" s="182"/>
      <c r="E357" s="182"/>
      <c r="F357" s="182"/>
      <c r="G357" s="182"/>
      <c r="H357" s="182"/>
      <c r="I357" s="182"/>
      <c r="J357" s="182"/>
      <c r="K357" s="182"/>
      <c r="L357" s="182"/>
      <c r="M357" s="182"/>
      <c r="N357" s="182"/>
      <c r="O357" s="182"/>
      <c r="P357" s="182"/>
      <c r="Q357" s="182"/>
    </row>
    <row r="358" spans="1:17" ht="15.75" customHeight="1" x14ac:dyDescent="0.25">
      <c r="A358" s="182"/>
      <c r="B358" s="182"/>
      <c r="C358" s="182"/>
      <c r="D358" s="182"/>
      <c r="E358" s="182"/>
      <c r="F358" s="182"/>
      <c r="G358" s="182"/>
      <c r="H358" s="182"/>
      <c r="I358" s="182"/>
      <c r="J358" s="182"/>
      <c r="K358" s="182"/>
      <c r="L358" s="182"/>
      <c r="M358" s="182"/>
      <c r="N358" s="182"/>
      <c r="O358" s="182"/>
      <c r="P358" s="182"/>
      <c r="Q358" s="182"/>
    </row>
    <row r="359" spans="1:17" ht="15.75" customHeight="1" x14ac:dyDescent="0.25">
      <c r="A359" s="182"/>
      <c r="B359" s="182"/>
      <c r="C359" s="182"/>
      <c r="D359" s="182"/>
      <c r="E359" s="182"/>
      <c r="F359" s="182"/>
      <c r="G359" s="182"/>
      <c r="H359" s="182"/>
      <c r="I359" s="182"/>
      <c r="J359" s="182"/>
      <c r="K359" s="182"/>
      <c r="L359" s="182"/>
      <c r="M359" s="182"/>
      <c r="N359" s="182"/>
      <c r="O359" s="182"/>
      <c r="P359" s="182"/>
      <c r="Q359" s="182"/>
    </row>
    <row r="360" spans="1:17" ht="15.75" customHeight="1" x14ac:dyDescent="0.25">
      <c r="A360" s="182"/>
      <c r="B360" s="182"/>
      <c r="C360" s="182"/>
      <c r="D360" s="182"/>
      <c r="E360" s="182"/>
      <c r="F360" s="182"/>
      <c r="G360" s="182"/>
      <c r="H360" s="182"/>
      <c r="I360" s="182"/>
      <c r="J360" s="182"/>
      <c r="K360" s="182"/>
      <c r="L360" s="182"/>
      <c r="M360" s="182"/>
      <c r="N360" s="182"/>
      <c r="O360" s="182"/>
      <c r="P360" s="182"/>
      <c r="Q360" s="182"/>
    </row>
    <row r="361" spans="1:17" ht="15.75" customHeight="1" x14ac:dyDescent="0.25">
      <c r="A361" s="182"/>
      <c r="B361" s="182"/>
      <c r="C361" s="182"/>
      <c r="D361" s="182"/>
      <c r="E361" s="182"/>
      <c r="F361" s="182"/>
      <c r="G361" s="182"/>
      <c r="H361" s="182"/>
      <c r="I361" s="182"/>
      <c r="J361" s="182"/>
      <c r="K361" s="182"/>
      <c r="L361" s="182"/>
      <c r="M361" s="182"/>
      <c r="N361" s="182"/>
      <c r="O361" s="182"/>
      <c r="P361" s="182"/>
      <c r="Q361" s="182"/>
    </row>
    <row r="362" spans="1:17" ht="15.75" customHeight="1" x14ac:dyDescent="0.25">
      <c r="A362" s="182"/>
      <c r="B362" s="182"/>
      <c r="C362" s="182"/>
      <c r="D362" s="182"/>
      <c r="E362" s="182"/>
      <c r="F362" s="182"/>
      <c r="G362" s="182"/>
      <c r="H362" s="182"/>
      <c r="I362" s="182"/>
      <c r="J362" s="182"/>
      <c r="K362" s="182"/>
      <c r="L362" s="182"/>
      <c r="M362" s="182"/>
      <c r="N362" s="182"/>
      <c r="O362" s="182"/>
      <c r="P362" s="182"/>
      <c r="Q362" s="182"/>
    </row>
    <row r="363" spans="1:17" ht="15.75" customHeight="1" x14ac:dyDescent="0.25">
      <c r="A363" s="182"/>
      <c r="B363" s="182"/>
      <c r="C363" s="182"/>
      <c r="D363" s="182"/>
      <c r="E363" s="182"/>
      <c r="F363" s="182"/>
      <c r="G363" s="182"/>
      <c r="H363" s="182"/>
      <c r="I363" s="182"/>
      <c r="J363" s="182"/>
      <c r="K363" s="182"/>
      <c r="L363" s="182"/>
      <c r="M363" s="182"/>
      <c r="N363" s="182"/>
      <c r="O363" s="182"/>
      <c r="P363" s="182"/>
      <c r="Q363" s="182"/>
    </row>
    <row r="364" spans="1:17" ht="15.75" customHeight="1" x14ac:dyDescent="0.25">
      <c r="A364" s="182"/>
      <c r="B364" s="182"/>
      <c r="C364" s="182"/>
      <c r="D364" s="182"/>
      <c r="E364" s="182"/>
      <c r="F364" s="182"/>
      <c r="G364" s="182"/>
      <c r="H364" s="182"/>
      <c r="I364" s="182"/>
      <c r="J364" s="182"/>
      <c r="K364" s="182"/>
      <c r="L364" s="182"/>
      <c r="M364" s="182"/>
      <c r="N364" s="182"/>
      <c r="O364" s="182"/>
      <c r="P364" s="182"/>
      <c r="Q364" s="182"/>
    </row>
    <row r="365" spans="1:17" ht="15.75" customHeight="1" x14ac:dyDescent="0.25">
      <c r="A365" s="182"/>
      <c r="B365" s="182"/>
      <c r="C365" s="182"/>
      <c r="D365" s="182"/>
      <c r="E365" s="182"/>
      <c r="F365" s="182"/>
      <c r="G365" s="182"/>
      <c r="H365" s="182"/>
      <c r="I365" s="182"/>
      <c r="J365" s="182"/>
      <c r="K365" s="182"/>
      <c r="L365" s="182"/>
      <c r="M365" s="182"/>
      <c r="N365" s="182"/>
      <c r="O365" s="182"/>
      <c r="P365" s="182"/>
      <c r="Q365" s="182"/>
    </row>
    <row r="366" spans="1:17" ht="15.75" customHeight="1" x14ac:dyDescent="0.25">
      <c r="A366" s="182"/>
      <c r="B366" s="182"/>
      <c r="C366" s="182"/>
      <c r="D366" s="182"/>
      <c r="E366" s="182"/>
      <c r="F366" s="182"/>
      <c r="G366" s="182"/>
      <c r="H366" s="182"/>
      <c r="I366" s="182"/>
      <c r="J366" s="182"/>
      <c r="K366" s="182"/>
      <c r="L366" s="182"/>
      <c r="M366" s="182"/>
      <c r="N366" s="182"/>
      <c r="O366" s="182"/>
      <c r="P366" s="182"/>
      <c r="Q366" s="182"/>
    </row>
    <row r="367" spans="1:17" ht="15.75" customHeight="1" x14ac:dyDescent="0.25">
      <c r="A367" s="182"/>
      <c r="B367" s="182"/>
      <c r="C367" s="182"/>
      <c r="D367" s="182"/>
      <c r="E367" s="182"/>
      <c r="F367" s="182"/>
      <c r="G367" s="182"/>
      <c r="H367" s="182"/>
      <c r="I367" s="182"/>
      <c r="J367" s="182"/>
      <c r="K367" s="182"/>
      <c r="L367" s="182"/>
      <c r="M367" s="182"/>
      <c r="N367" s="182"/>
      <c r="O367" s="182"/>
      <c r="P367" s="182"/>
      <c r="Q367" s="182"/>
    </row>
    <row r="368" spans="1:17" ht="15.75" customHeight="1" x14ac:dyDescent="0.25">
      <c r="A368" s="182"/>
      <c r="B368" s="182"/>
      <c r="C368" s="182"/>
      <c r="D368" s="182"/>
      <c r="E368" s="182"/>
      <c r="F368" s="182"/>
      <c r="G368" s="182"/>
      <c r="H368" s="182"/>
      <c r="I368" s="182"/>
      <c r="J368" s="182"/>
      <c r="K368" s="182"/>
      <c r="L368" s="182"/>
      <c r="M368" s="182"/>
      <c r="N368" s="182"/>
      <c r="O368" s="182"/>
      <c r="P368" s="182"/>
      <c r="Q368" s="182"/>
    </row>
    <row r="369" spans="1:17" ht="15.75" customHeight="1" x14ac:dyDescent="0.25">
      <c r="A369" s="182"/>
      <c r="B369" s="182"/>
      <c r="C369" s="182"/>
      <c r="D369" s="182"/>
      <c r="E369" s="182"/>
      <c r="F369" s="182"/>
      <c r="G369" s="182"/>
      <c r="H369" s="182"/>
      <c r="I369" s="182"/>
      <c r="J369" s="182"/>
      <c r="K369" s="182"/>
      <c r="L369" s="182"/>
      <c r="M369" s="182"/>
      <c r="N369" s="182"/>
      <c r="O369" s="182"/>
      <c r="P369" s="182"/>
      <c r="Q369" s="182"/>
    </row>
    <row r="370" spans="1:17" ht="15.75" customHeight="1" x14ac:dyDescent="0.25">
      <c r="A370" s="182"/>
      <c r="B370" s="182"/>
      <c r="C370" s="182"/>
      <c r="D370" s="182"/>
      <c r="E370" s="182"/>
      <c r="F370" s="182"/>
      <c r="G370" s="182"/>
      <c r="H370" s="182"/>
      <c r="I370" s="182"/>
      <c r="J370" s="182"/>
      <c r="K370" s="182"/>
      <c r="L370" s="182"/>
      <c r="M370" s="182"/>
      <c r="N370" s="182"/>
      <c r="O370" s="182"/>
      <c r="P370" s="182"/>
      <c r="Q370" s="182"/>
    </row>
    <row r="371" spans="1:17" ht="15.75" customHeight="1" x14ac:dyDescent="0.25">
      <c r="A371" s="182"/>
      <c r="B371" s="182"/>
      <c r="C371" s="182"/>
      <c r="D371" s="182"/>
      <c r="E371" s="182"/>
      <c r="F371" s="182"/>
      <c r="G371" s="182"/>
      <c r="H371" s="182"/>
      <c r="I371" s="182"/>
      <c r="J371" s="182"/>
      <c r="K371" s="182"/>
      <c r="L371" s="182"/>
      <c r="M371" s="182"/>
      <c r="N371" s="182"/>
      <c r="O371" s="182"/>
      <c r="P371" s="182"/>
      <c r="Q371" s="182"/>
    </row>
    <row r="372" spans="1:17" ht="15.75" customHeight="1" x14ac:dyDescent="0.25">
      <c r="A372" s="182"/>
      <c r="B372" s="182"/>
      <c r="C372" s="182"/>
      <c r="D372" s="182"/>
      <c r="E372" s="182"/>
      <c r="F372" s="182"/>
      <c r="G372" s="182"/>
      <c r="H372" s="182"/>
      <c r="I372" s="182"/>
      <c r="J372" s="182"/>
      <c r="K372" s="182"/>
      <c r="L372" s="182"/>
      <c r="M372" s="182"/>
      <c r="N372" s="182"/>
      <c r="O372" s="182"/>
      <c r="P372" s="182"/>
      <c r="Q372" s="182"/>
    </row>
    <row r="373" spans="1:17" ht="15.75" customHeight="1" x14ac:dyDescent="0.25">
      <c r="A373" s="182"/>
      <c r="B373" s="182"/>
      <c r="C373" s="182"/>
      <c r="D373" s="182"/>
      <c r="E373" s="182"/>
      <c r="F373" s="182"/>
      <c r="G373" s="182"/>
      <c r="H373" s="182"/>
      <c r="I373" s="182"/>
      <c r="J373" s="182"/>
      <c r="K373" s="182"/>
      <c r="L373" s="182"/>
      <c r="M373" s="182"/>
      <c r="N373" s="182"/>
      <c r="O373" s="182"/>
      <c r="P373" s="182"/>
      <c r="Q373" s="182"/>
    </row>
    <row r="374" spans="1:17" ht="15.75" customHeight="1" x14ac:dyDescent="0.25">
      <c r="A374" s="182"/>
      <c r="B374" s="182"/>
      <c r="C374" s="182"/>
      <c r="D374" s="182"/>
      <c r="E374" s="182"/>
      <c r="F374" s="182"/>
      <c r="G374" s="182"/>
      <c r="H374" s="182"/>
      <c r="I374" s="182"/>
      <c r="J374" s="182"/>
      <c r="K374" s="182"/>
      <c r="L374" s="182"/>
      <c r="M374" s="182"/>
      <c r="N374" s="182"/>
      <c r="O374" s="182"/>
      <c r="P374" s="182"/>
      <c r="Q374" s="182"/>
    </row>
    <row r="375" spans="1:17" ht="15.75" customHeight="1" x14ac:dyDescent="0.25">
      <c r="A375" s="182"/>
      <c r="B375" s="182"/>
      <c r="C375" s="182"/>
      <c r="D375" s="182"/>
      <c r="E375" s="182"/>
      <c r="F375" s="182"/>
      <c r="G375" s="182"/>
      <c r="H375" s="182"/>
      <c r="I375" s="182"/>
      <c r="J375" s="182"/>
      <c r="K375" s="182"/>
      <c r="L375" s="182"/>
      <c r="M375" s="182"/>
      <c r="N375" s="182"/>
      <c r="O375" s="182"/>
      <c r="P375" s="182"/>
      <c r="Q375" s="182"/>
    </row>
    <row r="376" spans="1:17" ht="15.75" customHeight="1" x14ac:dyDescent="0.25">
      <c r="A376" s="182"/>
      <c r="B376" s="182"/>
      <c r="C376" s="182"/>
      <c r="D376" s="182"/>
      <c r="E376" s="182"/>
      <c r="F376" s="182"/>
      <c r="G376" s="182"/>
      <c r="H376" s="182"/>
      <c r="I376" s="182"/>
      <c r="J376" s="182"/>
      <c r="K376" s="182"/>
      <c r="L376" s="182"/>
      <c r="M376" s="182"/>
      <c r="N376" s="182"/>
      <c r="O376" s="182"/>
      <c r="P376" s="182"/>
      <c r="Q376" s="182"/>
    </row>
    <row r="377" spans="1:17" ht="15.75" customHeight="1" x14ac:dyDescent="0.25">
      <c r="A377" s="182"/>
      <c r="B377" s="182"/>
      <c r="C377" s="182"/>
      <c r="D377" s="182"/>
      <c r="E377" s="182"/>
      <c r="F377" s="182"/>
      <c r="G377" s="182"/>
      <c r="H377" s="182"/>
      <c r="I377" s="182"/>
      <c r="J377" s="182"/>
      <c r="K377" s="182"/>
      <c r="L377" s="182"/>
      <c r="M377" s="182"/>
      <c r="N377" s="182"/>
      <c r="O377" s="182"/>
      <c r="P377" s="182"/>
      <c r="Q377" s="182"/>
    </row>
    <row r="378" spans="1:17" ht="15.75" customHeight="1" x14ac:dyDescent="0.25">
      <c r="A378" s="182"/>
      <c r="B378" s="182"/>
      <c r="C378" s="182"/>
      <c r="D378" s="182"/>
      <c r="E378" s="182"/>
      <c r="F378" s="182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2"/>
    </row>
    <row r="379" spans="1:17" ht="15.75" customHeight="1" x14ac:dyDescent="0.25">
      <c r="A379" s="182"/>
      <c r="B379" s="182"/>
      <c r="C379" s="182"/>
      <c r="D379" s="182"/>
      <c r="E379" s="182"/>
      <c r="F379" s="182"/>
      <c r="G379" s="182"/>
      <c r="H379" s="182"/>
      <c r="I379" s="182"/>
      <c r="J379" s="182"/>
      <c r="K379" s="182"/>
      <c r="L379" s="182"/>
      <c r="M379" s="182"/>
      <c r="N379" s="182"/>
      <c r="O379" s="182"/>
      <c r="P379" s="182"/>
      <c r="Q379" s="182"/>
    </row>
    <row r="380" spans="1:17" ht="15.75" customHeight="1" x14ac:dyDescent="0.25">
      <c r="A380" s="182"/>
      <c r="B380" s="182"/>
      <c r="C380" s="182"/>
      <c r="D380" s="182"/>
      <c r="E380" s="182"/>
      <c r="F380" s="182"/>
      <c r="G380" s="182"/>
      <c r="H380" s="182"/>
      <c r="I380" s="182"/>
      <c r="J380" s="182"/>
      <c r="K380" s="182"/>
      <c r="L380" s="182"/>
      <c r="M380" s="182"/>
      <c r="N380" s="182"/>
      <c r="O380" s="182"/>
      <c r="P380" s="182"/>
      <c r="Q380" s="182"/>
    </row>
    <row r="381" spans="1:17" ht="15.75" customHeight="1" x14ac:dyDescent="0.25">
      <c r="A381" s="182"/>
      <c r="B381" s="182"/>
      <c r="C381" s="182"/>
      <c r="D381" s="182"/>
      <c r="E381" s="182"/>
      <c r="F381" s="182"/>
      <c r="G381" s="182"/>
      <c r="H381" s="182"/>
      <c r="I381" s="182"/>
      <c r="J381" s="182"/>
      <c r="K381" s="182"/>
      <c r="L381" s="182"/>
      <c r="M381" s="182"/>
      <c r="N381" s="182"/>
      <c r="O381" s="182"/>
      <c r="P381" s="182"/>
      <c r="Q381" s="182"/>
    </row>
    <row r="382" spans="1:17" ht="15.75" customHeight="1" x14ac:dyDescent="0.25">
      <c r="A382" s="182"/>
      <c r="B382" s="182"/>
      <c r="C382" s="182"/>
      <c r="D382" s="182"/>
      <c r="E382" s="182"/>
      <c r="F382" s="182"/>
      <c r="G382" s="182"/>
      <c r="H382" s="182"/>
      <c r="I382" s="182"/>
      <c r="J382" s="182"/>
      <c r="K382" s="182"/>
      <c r="L382" s="182"/>
      <c r="M382" s="182"/>
      <c r="N382" s="182"/>
      <c r="O382" s="182"/>
      <c r="P382" s="182"/>
      <c r="Q382" s="182"/>
    </row>
    <row r="383" spans="1:17" ht="15.75" customHeight="1" x14ac:dyDescent="0.25">
      <c r="A383" s="182"/>
      <c r="B383" s="182"/>
      <c r="C383" s="182"/>
      <c r="D383" s="182"/>
      <c r="E383" s="182"/>
      <c r="F383" s="182"/>
      <c r="G383" s="182"/>
      <c r="H383" s="182"/>
      <c r="I383" s="182"/>
      <c r="J383" s="182"/>
      <c r="K383" s="182"/>
      <c r="L383" s="182"/>
      <c r="M383" s="182"/>
      <c r="N383" s="182"/>
      <c r="O383" s="182"/>
      <c r="P383" s="182"/>
      <c r="Q383" s="182"/>
    </row>
    <row r="384" spans="1:17" ht="15.75" customHeight="1" x14ac:dyDescent="0.25">
      <c r="A384" s="182"/>
      <c r="B384" s="182"/>
      <c r="C384" s="182"/>
      <c r="D384" s="182"/>
      <c r="E384" s="182"/>
      <c r="F384" s="182"/>
      <c r="G384" s="182"/>
      <c r="H384" s="182"/>
      <c r="I384" s="182"/>
      <c r="J384" s="182"/>
      <c r="K384" s="182"/>
      <c r="L384" s="182"/>
      <c r="M384" s="182"/>
      <c r="N384" s="182"/>
      <c r="O384" s="182"/>
      <c r="P384" s="182"/>
      <c r="Q384" s="182"/>
    </row>
    <row r="385" spans="1:17" ht="15.75" customHeight="1" x14ac:dyDescent="0.25">
      <c r="A385" s="182"/>
      <c r="B385" s="182"/>
      <c r="C385" s="182"/>
      <c r="D385" s="182"/>
      <c r="E385" s="182"/>
      <c r="F385" s="182"/>
      <c r="G385" s="182"/>
      <c r="H385" s="182"/>
      <c r="I385" s="182"/>
      <c r="J385" s="182"/>
      <c r="K385" s="182"/>
      <c r="L385" s="182"/>
      <c r="M385" s="182"/>
      <c r="N385" s="182"/>
      <c r="O385" s="182"/>
      <c r="P385" s="182"/>
      <c r="Q385" s="182"/>
    </row>
    <row r="386" spans="1:17" ht="15.75" customHeight="1" x14ac:dyDescent="0.25">
      <c r="A386" s="182"/>
      <c r="B386" s="182"/>
      <c r="C386" s="182"/>
      <c r="D386" s="182"/>
      <c r="E386" s="182"/>
      <c r="F386" s="182"/>
      <c r="G386" s="182"/>
      <c r="H386" s="182"/>
      <c r="I386" s="182"/>
      <c r="J386" s="182"/>
      <c r="K386" s="182"/>
      <c r="L386" s="182"/>
      <c r="M386" s="182"/>
      <c r="N386" s="182"/>
      <c r="O386" s="182"/>
      <c r="P386" s="182"/>
      <c r="Q386" s="182"/>
    </row>
    <row r="387" spans="1:17" ht="15.75" customHeight="1" x14ac:dyDescent="0.25">
      <c r="A387" s="182"/>
      <c r="B387" s="182"/>
      <c r="C387" s="182"/>
      <c r="D387" s="182"/>
      <c r="E387" s="182"/>
      <c r="F387" s="182"/>
      <c r="G387" s="182"/>
      <c r="H387" s="182"/>
      <c r="I387" s="182"/>
      <c r="J387" s="182"/>
      <c r="K387" s="182"/>
      <c r="L387" s="182"/>
      <c r="M387" s="182"/>
      <c r="N387" s="182"/>
      <c r="O387" s="182"/>
      <c r="P387" s="182"/>
      <c r="Q387" s="182"/>
    </row>
    <row r="388" spans="1:17" ht="15.75" customHeight="1" x14ac:dyDescent="0.25">
      <c r="A388" s="182"/>
      <c r="B388" s="182"/>
      <c r="C388" s="182"/>
      <c r="D388" s="182"/>
      <c r="E388" s="182"/>
      <c r="F388" s="182"/>
      <c r="G388" s="182"/>
      <c r="H388" s="182"/>
      <c r="I388" s="182"/>
      <c r="J388" s="182"/>
      <c r="K388" s="182"/>
      <c r="L388" s="182"/>
      <c r="M388" s="182"/>
      <c r="N388" s="182"/>
      <c r="O388" s="182"/>
      <c r="P388" s="182"/>
      <c r="Q388" s="182"/>
    </row>
    <row r="389" spans="1:17" ht="15.75" customHeight="1" x14ac:dyDescent="0.25">
      <c r="A389" s="182"/>
      <c r="B389" s="182"/>
      <c r="C389" s="182"/>
      <c r="D389" s="182"/>
      <c r="E389" s="182"/>
      <c r="F389" s="182"/>
      <c r="G389" s="182"/>
      <c r="H389" s="182"/>
      <c r="I389" s="182"/>
      <c r="J389" s="182"/>
      <c r="K389" s="182"/>
      <c r="L389" s="182"/>
      <c r="M389" s="182"/>
      <c r="N389" s="182"/>
      <c r="O389" s="182"/>
      <c r="P389" s="182"/>
      <c r="Q389" s="182"/>
    </row>
    <row r="390" spans="1:17" ht="15.75" customHeight="1" x14ac:dyDescent="0.25">
      <c r="A390" s="182"/>
      <c r="B390" s="182"/>
      <c r="C390" s="182"/>
      <c r="D390" s="182"/>
      <c r="E390" s="182"/>
      <c r="F390" s="182"/>
      <c r="G390" s="182"/>
      <c r="H390" s="182"/>
      <c r="I390" s="182"/>
      <c r="J390" s="182"/>
      <c r="K390" s="182"/>
      <c r="L390" s="182"/>
      <c r="M390" s="182"/>
      <c r="N390" s="182"/>
      <c r="O390" s="182"/>
      <c r="P390" s="182"/>
      <c r="Q390" s="182"/>
    </row>
    <row r="391" spans="1:17" ht="15.75" customHeight="1" x14ac:dyDescent="0.25">
      <c r="A391" s="182"/>
      <c r="B391" s="182"/>
      <c r="C391" s="182"/>
      <c r="D391" s="182"/>
      <c r="E391" s="182"/>
      <c r="F391" s="182"/>
      <c r="G391" s="182"/>
      <c r="H391" s="182"/>
      <c r="I391" s="182"/>
      <c r="J391" s="182"/>
      <c r="K391" s="182"/>
      <c r="L391" s="182"/>
      <c r="M391" s="182"/>
      <c r="N391" s="182"/>
      <c r="O391" s="182"/>
      <c r="P391" s="182"/>
      <c r="Q391" s="182"/>
    </row>
    <row r="392" spans="1:17" ht="15.75" customHeight="1" x14ac:dyDescent="0.25">
      <c r="A392" s="182"/>
      <c r="B392" s="182"/>
      <c r="C392" s="182"/>
      <c r="D392" s="182"/>
      <c r="E392" s="182"/>
      <c r="F392" s="182"/>
      <c r="G392" s="182"/>
      <c r="H392" s="182"/>
      <c r="I392" s="182"/>
      <c r="J392" s="182"/>
      <c r="K392" s="182"/>
      <c r="L392" s="182"/>
      <c r="M392" s="182"/>
      <c r="N392" s="182"/>
      <c r="O392" s="182"/>
      <c r="P392" s="182"/>
      <c r="Q392" s="182"/>
    </row>
    <row r="393" spans="1:17" ht="15.75" customHeight="1" x14ac:dyDescent="0.25">
      <c r="A393" s="182"/>
      <c r="B393" s="182"/>
      <c r="C393" s="182"/>
      <c r="D393" s="182"/>
      <c r="E393" s="182"/>
      <c r="F393" s="182"/>
      <c r="G393" s="182"/>
      <c r="H393" s="182"/>
      <c r="I393" s="182"/>
      <c r="J393" s="182"/>
      <c r="K393" s="182"/>
      <c r="L393" s="182"/>
      <c r="M393" s="182"/>
      <c r="N393" s="182"/>
      <c r="O393" s="182"/>
      <c r="P393" s="182"/>
      <c r="Q393" s="182"/>
    </row>
    <row r="394" spans="1:17" ht="15.75" customHeight="1" x14ac:dyDescent="0.25">
      <c r="A394" s="182"/>
      <c r="B394" s="182"/>
      <c r="C394" s="182"/>
      <c r="D394" s="182"/>
      <c r="E394" s="182"/>
      <c r="F394" s="182"/>
      <c r="G394" s="182"/>
      <c r="H394" s="182"/>
      <c r="I394" s="182"/>
      <c r="J394" s="182"/>
      <c r="K394" s="182"/>
      <c r="L394" s="182"/>
      <c r="M394" s="182"/>
      <c r="N394" s="182"/>
      <c r="O394" s="182"/>
      <c r="P394" s="182"/>
      <c r="Q394" s="182"/>
    </row>
    <row r="395" spans="1:17" ht="15.75" customHeight="1" x14ac:dyDescent="0.25">
      <c r="A395" s="182"/>
      <c r="B395" s="182"/>
      <c r="C395" s="182"/>
      <c r="D395" s="182"/>
      <c r="E395" s="182"/>
      <c r="F395" s="182"/>
      <c r="G395" s="182"/>
      <c r="H395" s="182"/>
      <c r="I395" s="182"/>
      <c r="J395" s="182"/>
      <c r="K395" s="182"/>
      <c r="L395" s="182"/>
      <c r="M395" s="182"/>
      <c r="N395" s="182"/>
      <c r="O395" s="182"/>
      <c r="P395" s="182"/>
      <c r="Q395" s="182"/>
    </row>
    <row r="396" spans="1:17" ht="15.75" customHeight="1" x14ac:dyDescent="0.25">
      <c r="A396" s="182"/>
      <c r="B396" s="182"/>
      <c r="C396" s="182"/>
      <c r="D396" s="182"/>
      <c r="E396" s="182"/>
      <c r="F396" s="182"/>
      <c r="G396" s="182"/>
      <c r="H396" s="182"/>
      <c r="I396" s="182"/>
      <c r="J396" s="182"/>
      <c r="K396" s="182"/>
      <c r="L396" s="182"/>
      <c r="M396" s="182"/>
      <c r="N396" s="182"/>
      <c r="O396" s="182"/>
      <c r="P396" s="182"/>
      <c r="Q396" s="182"/>
    </row>
    <row r="397" spans="1:17" ht="15.75" customHeight="1" x14ac:dyDescent="0.25">
      <c r="A397" s="182"/>
      <c r="B397" s="182"/>
      <c r="C397" s="182"/>
      <c r="D397" s="182"/>
      <c r="E397" s="182"/>
      <c r="F397" s="182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</row>
    <row r="398" spans="1:17" ht="15.75" customHeight="1" x14ac:dyDescent="0.25">
      <c r="A398" s="182"/>
      <c r="B398" s="182"/>
      <c r="C398" s="182"/>
      <c r="D398" s="182"/>
      <c r="E398" s="182"/>
      <c r="F398" s="182"/>
      <c r="G398" s="182"/>
      <c r="H398" s="182"/>
      <c r="I398" s="182"/>
      <c r="J398" s="182"/>
      <c r="K398" s="182"/>
      <c r="L398" s="182"/>
      <c r="M398" s="182"/>
      <c r="N398" s="182"/>
      <c r="O398" s="182"/>
      <c r="P398" s="182"/>
      <c r="Q398" s="182"/>
    </row>
    <row r="399" spans="1:17" ht="15.75" customHeight="1" x14ac:dyDescent="0.25">
      <c r="A399" s="182"/>
      <c r="B399" s="182"/>
      <c r="C399" s="182"/>
      <c r="D399" s="182"/>
      <c r="E399" s="182"/>
      <c r="F399" s="182"/>
      <c r="G399" s="182"/>
      <c r="H399" s="182"/>
      <c r="I399" s="182"/>
      <c r="J399" s="182"/>
      <c r="K399" s="182"/>
      <c r="L399" s="182"/>
      <c r="M399" s="182"/>
      <c r="N399" s="182"/>
      <c r="O399" s="182"/>
      <c r="P399" s="182"/>
      <c r="Q399" s="182"/>
    </row>
    <row r="400" spans="1:17" ht="15.75" customHeight="1" x14ac:dyDescent="0.25">
      <c r="A400" s="182"/>
      <c r="B400" s="182"/>
      <c r="C400" s="182"/>
      <c r="D400" s="182"/>
      <c r="E400" s="182"/>
      <c r="F400" s="182"/>
      <c r="G400" s="182"/>
      <c r="H400" s="182"/>
      <c r="I400" s="182"/>
      <c r="J400" s="182"/>
      <c r="K400" s="182"/>
      <c r="L400" s="182"/>
      <c r="M400" s="182"/>
      <c r="N400" s="182"/>
      <c r="O400" s="182"/>
      <c r="P400" s="182"/>
      <c r="Q400" s="182"/>
    </row>
    <row r="401" spans="1:17" ht="15.75" customHeight="1" x14ac:dyDescent="0.25">
      <c r="A401" s="182"/>
      <c r="B401" s="182"/>
      <c r="C401" s="182"/>
      <c r="D401" s="182"/>
      <c r="E401" s="182"/>
      <c r="F401" s="182"/>
      <c r="G401" s="182"/>
      <c r="H401" s="182"/>
      <c r="I401" s="182"/>
      <c r="J401" s="182"/>
      <c r="K401" s="182"/>
      <c r="L401" s="182"/>
      <c r="M401" s="182"/>
      <c r="N401" s="182"/>
      <c r="O401" s="182"/>
      <c r="P401" s="182"/>
      <c r="Q401" s="182"/>
    </row>
    <row r="402" spans="1:17" ht="15.75" customHeight="1" x14ac:dyDescent="0.25">
      <c r="A402" s="182"/>
      <c r="B402" s="182"/>
      <c r="C402" s="182"/>
      <c r="D402" s="182"/>
      <c r="E402" s="182"/>
      <c r="F402" s="182"/>
      <c r="G402" s="182"/>
      <c r="H402" s="182"/>
      <c r="I402" s="182"/>
      <c r="J402" s="182"/>
      <c r="K402" s="182"/>
      <c r="L402" s="182"/>
      <c r="M402" s="182"/>
      <c r="N402" s="182"/>
      <c r="O402" s="182"/>
      <c r="P402" s="182"/>
      <c r="Q402" s="182"/>
    </row>
    <row r="403" spans="1:17" ht="15.75" customHeight="1" x14ac:dyDescent="0.25">
      <c r="A403" s="182"/>
      <c r="B403" s="182"/>
      <c r="C403" s="182"/>
      <c r="D403" s="182"/>
      <c r="E403" s="182"/>
      <c r="F403" s="182"/>
      <c r="G403" s="182"/>
      <c r="H403" s="182"/>
      <c r="I403" s="182"/>
      <c r="J403" s="182"/>
      <c r="K403" s="182"/>
      <c r="L403" s="182"/>
      <c r="M403" s="182"/>
      <c r="N403" s="182"/>
      <c r="O403" s="182"/>
      <c r="P403" s="182"/>
      <c r="Q403" s="182"/>
    </row>
    <row r="404" spans="1:17" ht="15.75" customHeight="1" x14ac:dyDescent="0.25">
      <c r="A404" s="182"/>
      <c r="B404" s="182"/>
      <c r="C404" s="182"/>
      <c r="D404" s="182"/>
      <c r="E404" s="182"/>
      <c r="F404" s="182"/>
      <c r="G404" s="182"/>
      <c r="H404" s="182"/>
      <c r="I404" s="182"/>
      <c r="J404" s="182"/>
      <c r="K404" s="182"/>
      <c r="L404" s="182"/>
      <c r="M404" s="182"/>
      <c r="N404" s="182"/>
      <c r="O404" s="182"/>
      <c r="P404" s="182"/>
      <c r="Q404" s="182"/>
    </row>
    <row r="405" spans="1:17" ht="15.75" customHeight="1" x14ac:dyDescent="0.25">
      <c r="A405" s="182"/>
      <c r="B405" s="182"/>
      <c r="C405" s="182"/>
      <c r="D405" s="182"/>
      <c r="E405" s="182"/>
      <c r="F405" s="182"/>
      <c r="G405" s="182"/>
      <c r="H405" s="182"/>
      <c r="I405" s="182"/>
      <c r="J405" s="182"/>
      <c r="K405" s="182"/>
      <c r="L405" s="182"/>
      <c r="M405" s="182"/>
      <c r="N405" s="182"/>
      <c r="O405" s="182"/>
      <c r="P405" s="182"/>
      <c r="Q405" s="182"/>
    </row>
    <row r="406" spans="1:17" ht="15.75" customHeight="1" x14ac:dyDescent="0.25">
      <c r="A406" s="182"/>
      <c r="B406" s="182"/>
      <c r="C406" s="182"/>
      <c r="D406" s="182"/>
      <c r="E406" s="182"/>
      <c r="F406" s="182"/>
      <c r="G406" s="182"/>
      <c r="H406" s="182"/>
      <c r="I406" s="182"/>
      <c r="J406" s="182"/>
      <c r="K406" s="182"/>
      <c r="L406" s="182"/>
      <c r="M406" s="182"/>
      <c r="N406" s="182"/>
      <c r="O406" s="182"/>
      <c r="P406" s="182"/>
      <c r="Q406" s="182"/>
    </row>
    <row r="407" spans="1:17" ht="15.75" customHeight="1" x14ac:dyDescent="0.25">
      <c r="A407" s="182"/>
      <c r="B407" s="182"/>
      <c r="C407" s="182"/>
      <c r="D407" s="182"/>
      <c r="E407" s="182"/>
      <c r="F407" s="182"/>
      <c r="G407" s="182"/>
      <c r="H407" s="182"/>
      <c r="I407" s="182"/>
      <c r="J407" s="182"/>
      <c r="K407" s="182"/>
      <c r="L407" s="182"/>
      <c r="M407" s="182"/>
      <c r="N407" s="182"/>
      <c r="O407" s="182"/>
      <c r="P407" s="182"/>
      <c r="Q407" s="182"/>
    </row>
    <row r="408" spans="1:17" ht="15.75" customHeight="1" x14ac:dyDescent="0.25">
      <c r="A408" s="182"/>
      <c r="B408" s="182"/>
      <c r="C408" s="182"/>
      <c r="D408" s="182"/>
      <c r="E408" s="182"/>
      <c r="F408" s="182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</row>
    <row r="409" spans="1:17" ht="15.75" customHeight="1" x14ac:dyDescent="0.25">
      <c r="A409" s="182"/>
      <c r="B409" s="182"/>
      <c r="C409" s="182"/>
      <c r="D409" s="182"/>
      <c r="E409" s="182"/>
      <c r="F409" s="182"/>
      <c r="G409" s="182"/>
      <c r="H409" s="182"/>
      <c r="I409" s="182"/>
      <c r="J409" s="182"/>
      <c r="K409" s="182"/>
      <c r="L409" s="182"/>
      <c r="M409" s="182"/>
      <c r="N409" s="182"/>
      <c r="O409" s="182"/>
      <c r="P409" s="182"/>
      <c r="Q409" s="182"/>
    </row>
    <row r="410" spans="1:17" ht="15.75" customHeight="1" x14ac:dyDescent="0.25">
      <c r="A410" s="182"/>
      <c r="B410" s="182"/>
      <c r="C410" s="182"/>
      <c r="D410" s="182"/>
      <c r="E410" s="182"/>
      <c r="F410" s="182"/>
      <c r="G410" s="182"/>
      <c r="H410" s="182"/>
      <c r="I410" s="182"/>
      <c r="J410" s="182"/>
      <c r="K410" s="182"/>
      <c r="L410" s="182"/>
      <c r="M410" s="182"/>
      <c r="N410" s="182"/>
      <c r="O410" s="182"/>
      <c r="P410" s="182"/>
      <c r="Q410" s="182"/>
    </row>
    <row r="411" spans="1:17" ht="15.75" customHeight="1" x14ac:dyDescent="0.25">
      <c r="A411" s="182"/>
      <c r="B411" s="182"/>
      <c r="C411" s="182"/>
      <c r="D411" s="182"/>
      <c r="E411" s="182"/>
      <c r="F411" s="182"/>
      <c r="G411" s="182"/>
      <c r="H411" s="182"/>
      <c r="I411" s="182"/>
      <c r="J411" s="182"/>
      <c r="K411" s="182"/>
      <c r="L411" s="182"/>
      <c r="M411" s="182"/>
      <c r="N411" s="182"/>
      <c r="O411" s="182"/>
      <c r="P411" s="182"/>
      <c r="Q411" s="182"/>
    </row>
    <row r="412" spans="1:17" ht="15.75" customHeight="1" x14ac:dyDescent="0.25">
      <c r="A412" s="182"/>
      <c r="B412" s="182"/>
      <c r="C412" s="182"/>
      <c r="D412" s="182"/>
      <c r="E412" s="182"/>
      <c r="F412" s="182"/>
      <c r="G412" s="182"/>
      <c r="H412" s="182"/>
      <c r="I412" s="182"/>
      <c r="J412" s="182"/>
      <c r="K412" s="182"/>
      <c r="L412" s="182"/>
      <c r="M412" s="182"/>
      <c r="N412" s="182"/>
      <c r="O412" s="182"/>
      <c r="P412" s="182"/>
      <c r="Q412" s="182"/>
    </row>
    <row r="413" spans="1:17" ht="15.75" customHeight="1" x14ac:dyDescent="0.25">
      <c r="A413" s="182"/>
      <c r="B413" s="182"/>
      <c r="C413" s="182"/>
      <c r="D413" s="182"/>
      <c r="E413" s="182"/>
      <c r="F413" s="182"/>
      <c r="G413" s="182"/>
      <c r="H413" s="182"/>
      <c r="I413" s="182"/>
      <c r="J413" s="182"/>
      <c r="K413" s="182"/>
      <c r="L413" s="182"/>
      <c r="M413" s="182"/>
      <c r="N413" s="182"/>
      <c r="O413" s="182"/>
      <c r="P413" s="182"/>
      <c r="Q413" s="182"/>
    </row>
    <row r="414" spans="1:17" ht="15.75" customHeight="1" x14ac:dyDescent="0.25">
      <c r="A414" s="182"/>
      <c r="B414" s="182"/>
      <c r="C414" s="182"/>
      <c r="D414" s="182"/>
      <c r="E414" s="182"/>
      <c r="F414" s="182"/>
      <c r="G414" s="182"/>
      <c r="H414" s="182"/>
      <c r="I414" s="182"/>
      <c r="J414" s="182"/>
      <c r="K414" s="182"/>
      <c r="L414" s="182"/>
      <c r="M414" s="182"/>
      <c r="N414" s="182"/>
      <c r="O414" s="182"/>
      <c r="P414" s="182"/>
      <c r="Q414" s="182"/>
    </row>
    <row r="415" spans="1:17" ht="15.75" customHeight="1" x14ac:dyDescent="0.25">
      <c r="A415" s="182"/>
      <c r="B415" s="182"/>
      <c r="C415" s="182"/>
      <c r="D415" s="182"/>
      <c r="E415" s="182"/>
      <c r="F415" s="182"/>
      <c r="G415" s="182"/>
      <c r="H415" s="182"/>
      <c r="I415" s="182"/>
      <c r="J415" s="182"/>
      <c r="K415" s="182"/>
      <c r="L415" s="182"/>
      <c r="M415" s="182"/>
      <c r="N415" s="182"/>
      <c r="O415" s="182"/>
      <c r="P415" s="182"/>
      <c r="Q415" s="182"/>
    </row>
    <row r="416" spans="1:17" ht="15.75" customHeight="1" x14ac:dyDescent="0.25">
      <c r="A416" s="182"/>
      <c r="B416" s="182"/>
      <c r="C416" s="182"/>
      <c r="D416" s="182"/>
      <c r="E416" s="182"/>
      <c r="F416" s="182"/>
      <c r="G416" s="182"/>
      <c r="H416" s="182"/>
      <c r="I416" s="182"/>
      <c r="J416" s="182"/>
      <c r="K416" s="182"/>
      <c r="L416" s="182"/>
      <c r="M416" s="182"/>
      <c r="N416" s="182"/>
      <c r="O416" s="182"/>
      <c r="P416" s="182"/>
      <c r="Q416" s="182"/>
    </row>
    <row r="417" spans="1:17" ht="15.75" customHeight="1" x14ac:dyDescent="0.25">
      <c r="A417" s="182"/>
      <c r="B417" s="182"/>
      <c r="C417" s="182"/>
      <c r="D417" s="182"/>
      <c r="E417" s="182"/>
      <c r="F417" s="182"/>
      <c r="G417" s="182"/>
      <c r="H417" s="182"/>
      <c r="I417" s="182"/>
      <c r="J417" s="182"/>
      <c r="K417" s="182"/>
      <c r="L417" s="182"/>
      <c r="M417" s="182"/>
      <c r="N417" s="182"/>
      <c r="O417" s="182"/>
      <c r="P417" s="182"/>
      <c r="Q417" s="182"/>
    </row>
    <row r="418" spans="1:17" ht="15.75" customHeight="1" x14ac:dyDescent="0.25">
      <c r="A418" s="182"/>
      <c r="B418" s="182"/>
      <c r="C418" s="182"/>
      <c r="D418" s="182"/>
      <c r="E418" s="182"/>
      <c r="F418" s="182"/>
      <c r="G418" s="182"/>
      <c r="H418" s="182"/>
      <c r="I418" s="182"/>
      <c r="J418" s="182"/>
      <c r="K418" s="182"/>
      <c r="L418" s="182"/>
      <c r="M418" s="182"/>
      <c r="N418" s="182"/>
      <c r="O418" s="182"/>
      <c r="P418" s="182"/>
      <c r="Q418" s="182"/>
    </row>
    <row r="419" spans="1:17" ht="15.75" customHeight="1" x14ac:dyDescent="0.25">
      <c r="A419" s="182"/>
      <c r="B419" s="182"/>
      <c r="C419" s="182"/>
      <c r="D419" s="182"/>
      <c r="E419" s="182"/>
      <c r="F419" s="182"/>
      <c r="G419" s="182"/>
      <c r="H419" s="182"/>
      <c r="I419" s="182"/>
      <c r="J419" s="182"/>
      <c r="K419" s="182"/>
      <c r="L419" s="182"/>
      <c r="M419" s="182"/>
      <c r="N419" s="182"/>
      <c r="O419" s="182"/>
      <c r="P419" s="182"/>
      <c r="Q419" s="182"/>
    </row>
    <row r="420" spans="1:17" ht="15.75" customHeight="1" x14ac:dyDescent="0.25">
      <c r="A420" s="182"/>
      <c r="B420" s="182"/>
      <c r="C420" s="182"/>
      <c r="D420" s="182"/>
      <c r="E420" s="182"/>
      <c r="F420" s="182"/>
      <c r="G420" s="182"/>
      <c r="H420" s="182"/>
      <c r="I420" s="182"/>
      <c r="J420" s="182"/>
      <c r="K420" s="182"/>
      <c r="L420" s="182"/>
      <c r="M420" s="182"/>
      <c r="N420" s="182"/>
      <c r="O420" s="182"/>
      <c r="P420" s="182"/>
      <c r="Q420" s="182"/>
    </row>
    <row r="421" spans="1:17" ht="15.75" customHeight="1" x14ac:dyDescent="0.25">
      <c r="A421" s="182"/>
      <c r="B421" s="182"/>
      <c r="C421" s="182"/>
      <c r="D421" s="182"/>
      <c r="E421" s="182"/>
      <c r="F421" s="182"/>
      <c r="G421" s="182"/>
      <c r="H421" s="182"/>
      <c r="I421" s="182"/>
      <c r="J421" s="182"/>
      <c r="K421" s="182"/>
      <c r="L421" s="182"/>
      <c r="M421" s="182"/>
      <c r="N421" s="182"/>
      <c r="O421" s="182"/>
      <c r="P421" s="182"/>
      <c r="Q421" s="182"/>
    </row>
    <row r="422" spans="1:17" ht="15.75" customHeight="1" x14ac:dyDescent="0.25">
      <c r="A422" s="182"/>
      <c r="B422" s="182"/>
      <c r="C422" s="182"/>
      <c r="D422" s="182"/>
      <c r="E422" s="182"/>
      <c r="F422" s="182"/>
      <c r="G422" s="182"/>
      <c r="H422" s="182"/>
      <c r="I422" s="182"/>
      <c r="J422" s="182"/>
      <c r="K422" s="182"/>
      <c r="L422" s="182"/>
      <c r="M422" s="182"/>
      <c r="N422" s="182"/>
      <c r="O422" s="182"/>
      <c r="P422" s="182"/>
      <c r="Q422" s="182"/>
    </row>
    <row r="423" spans="1:17" ht="15.75" customHeight="1" x14ac:dyDescent="0.25">
      <c r="A423" s="182"/>
      <c r="B423" s="182"/>
      <c r="C423" s="182"/>
      <c r="D423" s="182"/>
      <c r="E423" s="182"/>
      <c r="F423" s="182"/>
      <c r="G423" s="182"/>
      <c r="H423" s="182"/>
      <c r="I423" s="182"/>
      <c r="J423" s="182"/>
      <c r="K423" s="182"/>
      <c r="L423" s="182"/>
      <c r="M423" s="182"/>
      <c r="N423" s="182"/>
      <c r="O423" s="182"/>
      <c r="P423" s="182"/>
      <c r="Q423" s="182"/>
    </row>
    <row r="424" spans="1:17" ht="15.75" customHeight="1" x14ac:dyDescent="0.25">
      <c r="A424" s="182"/>
      <c r="B424" s="182"/>
      <c r="C424" s="182"/>
      <c r="D424" s="182"/>
      <c r="E424" s="182"/>
      <c r="F424" s="182"/>
      <c r="G424" s="182"/>
      <c r="H424" s="182"/>
      <c r="I424" s="182"/>
      <c r="J424" s="182"/>
      <c r="K424" s="182"/>
      <c r="L424" s="182"/>
      <c r="M424" s="182"/>
      <c r="N424" s="182"/>
      <c r="O424" s="182"/>
      <c r="P424" s="182"/>
      <c r="Q424" s="182"/>
    </row>
    <row r="425" spans="1:17" ht="15.75" customHeight="1" x14ac:dyDescent="0.25">
      <c r="A425" s="182"/>
      <c r="B425" s="182"/>
      <c r="C425" s="182"/>
      <c r="D425" s="182"/>
      <c r="E425" s="182"/>
      <c r="F425" s="182"/>
      <c r="G425" s="182"/>
      <c r="H425" s="182"/>
      <c r="I425" s="182"/>
      <c r="J425" s="182"/>
      <c r="K425" s="182"/>
      <c r="L425" s="182"/>
      <c r="M425" s="182"/>
      <c r="N425" s="182"/>
      <c r="O425" s="182"/>
      <c r="P425" s="182"/>
      <c r="Q425" s="182"/>
    </row>
    <row r="426" spans="1:17" ht="15.75" customHeight="1" x14ac:dyDescent="0.25">
      <c r="A426" s="182"/>
      <c r="B426" s="182"/>
      <c r="C426" s="182"/>
      <c r="D426" s="182"/>
      <c r="E426" s="182"/>
      <c r="F426" s="182"/>
      <c r="G426" s="182"/>
      <c r="H426" s="182"/>
      <c r="I426" s="182"/>
      <c r="J426" s="182"/>
      <c r="K426" s="182"/>
      <c r="L426" s="182"/>
      <c r="M426" s="182"/>
      <c r="N426" s="182"/>
      <c r="O426" s="182"/>
      <c r="P426" s="182"/>
      <c r="Q426" s="182"/>
    </row>
    <row r="427" spans="1:17" ht="15.75" customHeight="1" x14ac:dyDescent="0.25">
      <c r="A427" s="182"/>
      <c r="B427" s="182"/>
      <c r="C427" s="182"/>
      <c r="D427" s="182"/>
      <c r="E427" s="182"/>
      <c r="F427" s="182"/>
      <c r="G427" s="182"/>
      <c r="H427" s="182"/>
      <c r="I427" s="182"/>
      <c r="J427" s="182"/>
      <c r="K427" s="182"/>
      <c r="L427" s="182"/>
      <c r="M427" s="182"/>
      <c r="N427" s="182"/>
      <c r="O427" s="182"/>
      <c r="P427" s="182"/>
      <c r="Q427" s="182"/>
    </row>
    <row r="428" spans="1:17" ht="15.75" customHeight="1" x14ac:dyDescent="0.25">
      <c r="A428" s="182"/>
      <c r="B428" s="182"/>
      <c r="C428" s="182"/>
      <c r="D428" s="182"/>
      <c r="E428" s="182"/>
      <c r="F428" s="182"/>
      <c r="G428" s="182"/>
      <c r="H428" s="182"/>
      <c r="I428" s="182"/>
      <c r="J428" s="182"/>
      <c r="K428" s="182"/>
      <c r="L428" s="182"/>
      <c r="M428" s="182"/>
      <c r="N428" s="182"/>
      <c r="O428" s="182"/>
      <c r="P428" s="182"/>
      <c r="Q428" s="182"/>
    </row>
    <row r="429" spans="1:17" ht="15.75" customHeight="1" x14ac:dyDescent="0.25">
      <c r="A429" s="182"/>
      <c r="B429" s="182"/>
      <c r="C429" s="182"/>
      <c r="D429" s="182"/>
      <c r="E429" s="182"/>
      <c r="F429" s="182"/>
      <c r="G429" s="182"/>
      <c r="H429" s="182"/>
      <c r="I429" s="182"/>
      <c r="J429" s="182"/>
      <c r="K429" s="182"/>
      <c r="L429" s="182"/>
      <c r="M429" s="182"/>
      <c r="N429" s="182"/>
      <c r="O429" s="182"/>
      <c r="P429" s="182"/>
      <c r="Q429" s="182"/>
    </row>
    <row r="430" spans="1:17" ht="15.75" customHeight="1" x14ac:dyDescent="0.25">
      <c r="A430" s="182"/>
      <c r="B430" s="182"/>
      <c r="C430" s="182"/>
      <c r="D430" s="182"/>
      <c r="E430" s="182"/>
      <c r="F430" s="182"/>
      <c r="G430" s="182"/>
      <c r="H430" s="182"/>
      <c r="I430" s="182"/>
      <c r="J430" s="182"/>
      <c r="K430" s="182"/>
      <c r="L430" s="182"/>
      <c r="M430" s="182"/>
      <c r="N430" s="182"/>
      <c r="O430" s="182"/>
      <c r="P430" s="182"/>
      <c r="Q430" s="182"/>
    </row>
    <row r="431" spans="1:17" ht="15.75" customHeight="1" x14ac:dyDescent="0.25">
      <c r="A431" s="182"/>
      <c r="B431" s="182"/>
      <c r="C431" s="182"/>
      <c r="D431" s="182"/>
      <c r="E431" s="182"/>
      <c r="F431" s="182"/>
      <c r="G431" s="182"/>
      <c r="H431" s="182"/>
      <c r="I431" s="182"/>
      <c r="J431" s="182"/>
      <c r="K431" s="182"/>
      <c r="L431" s="182"/>
      <c r="M431" s="182"/>
      <c r="N431" s="182"/>
      <c r="O431" s="182"/>
      <c r="P431" s="182"/>
      <c r="Q431" s="182"/>
    </row>
    <row r="432" spans="1:17" ht="15.75" customHeight="1" x14ac:dyDescent="0.25">
      <c r="A432" s="182"/>
      <c r="B432" s="182"/>
      <c r="C432" s="182"/>
      <c r="D432" s="182"/>
      <c r="E432" s="182"/>
      <c r="F432" s="182"/>
      <c r="G432" s="182"/>
      <c r="H432" s="182"/>
      <c r="I432" s="182"/>
      <c r="J432" s="182"/>
      <c r="K432" s="182"/>
      <c r="L432" s="182"/>
      <c r="M432" s="182"/>
      <c r="N432" s="182"/>
      <c r="O432" s="182"/>
      <c r="P432" s="182"/>
      <c r="Q432" s="182"/>
    </row>
    <row r="433" spans="1:17" ht="15.75" customHeight="1" x14ac:dyDescent="0.25">
      <c r="A433" s="182"/>
      <c r="B433" s="182"/>
      <c r="C433" s="182"/>
      <c r="D433" s="182"/>
      <c r="E433" s="182"/>
      <c r="F433" s="182"/>
      <c r="G433" s="182"/>
      <c r="H433" s="182"/>
      <c r="I433" s="182"/>
      <c r="J433" s="182"/>
      <c r="K433" s="182"/>
      <c r="L433" s="182"/>
      <c r="M433" s="182"/>
      <c r="N433" s="182"/>
      <c r="O433" s="182"/>
      <c r="P433" s="182"/>
      <c r="Q433" s="182"/>
    </row>
    <row r="434" spans="1:17" ht="15.75" customHeight="1" x14ac:dyDescent="0.25">
      <c r="A434" s="182"/>
      <c r="B434" s="182"/>
      <c r="C434" s="182"/>
      <c r="D434" s="182"/>
      <c r="E434" s="182"/>
      <c r="F434" s="182"/>
      <c r="G434" s="182"/>
      <c r="H434" s="182"/>
      <c r="I434" s="182"/>
      <c r="J434" s="182"/>
      <c r="K434" s="182"/>
      <c r="L434" s="182"/>
      <c r="M434" s="182"/>
      <c r="N434" s="182"/>
      <c r="O434" s="182"/>
      <c r="P434" s="182"/>
      <c r="Q434" s="182"/>
    </row>
    <row r="435" spans="1:17" ht="15.75" customHeight="1" x14ac:dyDescent="0.25">
      <c r="A435" s="182"/>
      <c r="B435" s="182"/>
      <c r="C435" s="182"/>
      <c r="D435" s="182"/>
      <c r="E435" s="182"/>
      <c r="F435" s="182"/>
      <c r="G435" s="182"/>
      <c r="H435" s="182"/>
      <c r="I435" s="182"/>
      <c r="J435" s="182"/>
      <c r="K435" s="182"/>
      <c r="L435" s="182"/>
      <c r="M435" s="182"/>
      <c r="N435" s="182"/>
      <c r="O435" s="182"/>
      <c r="P435" s="182"/>
      <c r="Q435" s="182"/>
    </row>
    <row r="436" spans="1:17" ht="15.75" customHeight="1" x14ac:dyDescent="0.25">
      <c r="A436" s="182"/>
      <c r="B436" s="182"/>
      <c r="C436" s="182"/>
      <c r="D436" s="182"/>
      <c r="E436" s="182"/>
      <c r="F436" s="182"/>
      <c r="G436" s="182"/>
      <c r="H436" s="182"/>
      <c r="I436" s="182"/>
      <c r="J436" s="182"/>
      <c r="K436" s="182"/>
      <c r="L436" s="182"/>
      <c r="M436" s="182"/>
      <c r="N436" s="182"/>
      <c r="O436" s="182"/>
      <c r="P436" s="182"/>
      <c r="Q436" s="182"/>
    </row>
    <row r="437" spans="1:17" ht="15.75" customHeight="1" x14ac:dyDescent="0.25">
      <c r="A437" s="182"/>
      <c r="B437" s="182"/>
      <c r="C437" s="182"/>
      <c r="D437" s="182"/>
      <c r="E437" s="182"/>
      <c r="F437" s="182"/>
      <c r="G437" s="182"/>
      <c r="H437" s="182"/>
      <c r="I437" s="182"/>
      <c r="J437" s="182"/>
      <c r="K437" s="182"/>
      <c r="L437" s="182"/>
      <c r="M437" s="182"/>
      <c r="N437" s="182"/>
      <c r="O437" s="182"/>
      <c r="P437" s="182"/>
      <c r="Q437" s="182"/>
    </row>
    <row r="438" spans="1:17" ht="15.75" customHeight="1" x14ac:dyDescent="0.25">
      <c r="A438" s="182"/>
      <c r="B438" s="182"/>
      <c r="C438" s="182"/>
      <c r="D438" s="182"/>
      <c r="E438" s="182"/>
      <c r="F438" s="182"/>
      <c r="G438" s="182"/>
      <c r="H438" s="182"/>
      <c r="I438" s="182"/>
      <c r="J438" s="182"/>
      <c r="K438" s="182"/>
      <c r="L438" s="182"/>
      <c r="M438" s="182"/>
      <c r="N438" s="182"/>
      <c r="O438" s="182"/>
      <c r="P438" s="182"/>
      <c r="Q438" s="182"/>
    </row>
    <row r="439" spans="1:17" ht="15.75" customHeight="1" x14ac:dyDescent="0.25">
      <c r="A439" s="182"/>
      <c r="B439" s="182"/>
      <c r="C439" s="182"/>
      <c r="D439" s="182"/>
      <c r="E439" s="182"/>
      <c r="F439" s="182"/>
      <c r="G439" s="182"/>
      <c r="H439" s="182"/>
      <c r="I439" s="182"/>
      <c r="J439" s="182"/>
      <c r="K439" s="182"/>
      <c r="L439" s="182"/>
      <c r="M439" s="182"/>
      <c r="N439" s="182"/>
      <c r="O439" s="182"/>
      <c r="P439" s="182"/>
      <c r="Q439" s="182"/>
    </row>
    <row r="440" spans="1:17" ht="15.75" customHeight="1" x14ac:dyDescent="0.25">
      <c r="A440" s="182"/>
      <c r="B440" s="182"/>
      <c r="C440" s="182"/>
      <c r="D440" s="182"/>
      <c r="E440" s="182"/>
      <c r="F440" s="182"/>
      <c r="G440" s="182"/>
      <c r="H440" s="182"/>
      <c r="I440" s="182"/>
      <c r="J440" s="182"/>
      <c r="K440" s="182"/>
      <c r="L440" s="182"/>
      <c r="M440" s="182"/>
      <c r="N440" s="182"/>
      <c r="O440" s="182"/>
      <c r="P440" s="182"/>
      <c r="Q440" s="182"/>
    </row>
    <row r="441" spans="1:17" ht="15.75" customHeight="1" x14ac:dyDescent="0.25">
      <c r="A441" s="182"/>
      <c r="B441" s="182"/>
      <c r="C441" s="182"/>
      <c r="D441" s="182"/>
      <c r="E441" s="182"/>
      <c r="F441" s="182"/>
      <c r="G441" s="182"/>
      <c r="H441" s="182"/>
      <c r="I441" s="182"/>
      <c r="J441" s="182"/>
      <c r="K441" s="182"/>
      <c r="L441" s="182"/>
      <c r="M441" s="182"/>
      <c r="N441" s="182"/>
      <c r="O441" s="182"/>
      <c r="P441" s="182"/>
      <c r="Q441" s="182"/>
    </row>
    <row r="442" spans="1:17" ht="15.75" customHeight="1" x14ac:dyDescent="0.25">
      <c r="A442" s="182"/>
      <c r="B442" s="182"/>
      <c r="C442" s="182"/>
      <c r="D442" s="182"/>
      <c r="E442" s="182"/>
      <c r="F442" s="182"/>
      <c r="G442" s="182"/>
      <c r="H442" s="182"/>
      <c r="I442" s="182"/>
      <c r="J442" s="182"/>
      <c r="K442" s="182"/>
      <c r="L442" s="182"/>
      <c r="M442" s="182"/>
      <c r="N442" s="182"/>
      <c r="O442" s="182"/>
      <c r="P442" s="182"/>
      <c r="Q442" s="182"/>
    </row>
    <row r="443" spans="1:17" ht="15.75" customHeight="1" x14ac:dyDescent="0.25">
      <c r="A443" s="182"/>
      <c r="B443" s="182"/>
      <c r="C443" s="182"/>
      <c r="D443" s="182"/>
      <c r="E443" s="182"/>
      <c r="F443" s="182"/>
      <c r="G443" s="182"/>
      <c r="H443" s="182"/>
      <c r="I443" s="182"/>
      <c r="J443" s="182"/>
      <c r="K443" s="182"/>
      <c r="L443" s="182"/>
      <c r="M443" s="182"/>
      <c r="N443" s="182"/>
      <c r="O443" s="182"/>
      <c r="P443" s="182"/>
      <c r="Q443" s="182"/>
    </row>
    <row r="444" spans="1:17" ht="15.75" customHeight="1" x14ac:dyDescent="0.25">
      <c r="A444" s="182"/>
      <c r="B444" s="182"/>
      <c r="C444" s="182"/>
      <c r="D444" s="182"/>
      <c r="E444" s="182"/>
      <c r="F444" s="182"/>
      <c r="G444" s="182"/>
      <c r="H444" s="182"/>
      <c r="I444" s="182"/>
      <c r="J444" s="182"/>
      <c r="K444" s="182"/>
      <c r="L444" s="182"/>
      <c r="M444" s="182"/>
      <c r="N444" s="182"/>
      <c r="O444" s="182"/>
      <c r="P444" s="182"/>
      <c r="Q444" s="182"/>
    </row>
    <row r="445" spans="1:17" ht="15.75" customHeight="1" x14ac:dyDescent="0.25">
      <c r="A445" s="182"/>
      <c r="B445" s="182"/>
      <c r="C445" s="182"/>
      <c r="D445" s="182"/>
      <c r="E445" s="182"/>
      <c r="F445" s="182"/>
      <c r="G445" s="182"/>
      <c r="H445" s="182"/>
      <c r="I445" s="182"/>
      <c r="J445" s="182"/>
      <c r="K445" s="182"/>
      <c r="L445" s="182"/>
      <c r="M445" s="182"/>
      <c r="N445" s="182"/>
      <c r="O445" s="182"/>
      <c r="P445" s="182"/>
      <c r="Q445" s="182"/>
    </row>
    <row r="446" spans="1:17" ht="15.75" customHeight="1" x14ac:dyDescent="0.25">
      <c r="A446" s="182"/>
      <c r="B446" s="182"/>
      <c r="C446" s="182"/>
      <c r="D446" s="182"/>
      <c r="E446" s="182"/>
      <c r="F446" s="182"/>
      <c r="G446" s="182"/>
      <c r="H446" s="182"/>
      <c r="I446" s="182"/>
      <c r="J446" s="182"/>
      <c r="K446" s="182"/>
      <c r="L446" s="182"/>
      <c r="M446" s="182"/>
      <c r="N446" s="182"/>
      <c r="O446" s="182"/>
      <c r="P446" s="182"/>
      <c r="Q446" s="182"/>
    </row>
    <row r="447" spans="1:17" ht="15.75" customHeight="1" x14ac:dyDescent="0.25">
      <c r="A447" s="182"/>
      <c r="B447" s="182"/>
      <c r="C447" s="182"/>
      <c r="D447" s="182"/>
      <c r="E447" s="182"/>
      <c r="F447" s="182"/>
      <c r="G447" s="182"/>
      <c r="H447" s="182"/>
      <c r="I447" s="182"/>
      <c r="J447" s="182"/>
      <c r="K447" s="182"/>
      <c r="L447" s="182"/>
      <c r="M447" s="182"/>
      <c r="N447" s="182"/>
      <c r="O447" s="182"/>
      <c r="P447" s="182"/>
      <c r="Q447" s="182"/>
    </row>
    <row r="448" spans="1:17" ht="15.75" customHeight="1" x14ac:dyDescent="0.25">
      <c r="A448" s="182"/>
      <c r="B448" s="182"/>
      <c r="C448" s="182"/>
      <c r="D448" s="182"/>
      <c r="E448" s="182"/>
      <c r="F448" s="182"/>
      <c r="G448" s="182"/>
      <c r="H448" s="182"/>
      <c r="I448" s="182"/>
      <c r="J448" s="182"/>
      <c r="K448" s="182"/>
      <c r="L448" s="182"/>
      <c r="M448" s="182"/>
      <c r="N448" s="182"/>
      <c r="O448" s="182"/>
      <c r="P448" s="182"/>
      <c r="Q448" s="182"/>
    </row>
    <row r="449" spans="1:17" ht="15.75" customHeight="1" x14ac:dyDescent="0.25">
      <c r="A449" s="182"/>
      <c r="B449" s="182"/>
      <c r="C449" s="182"/>
      <c r="D449" s="182"/>
      <c r="E449" s="182"/>
      <c r="F449" s="182"/>
      <c r="G449" s="182"/>
      <c r="H449" s="182"/>
      <c r="I449" s="182"/>
      <c r="J449" s="182"/>
      <c r="K449" s="182"/>
      <c r="L449" s="182"/>
      <c r="M449" s="182"/>
      <c r="N449" s="182"/>
      <c r="O449" s="182"/>
      <c r="P449" s="182"/>
      <c r="Q449" s="182"/>
    </row>
    <row r="450" spans="1:17" ht="15.75" customHeight="1" x14ac:dyDescent="0.25">
      <c r="A450" s="182"/>
      <c r="B450" s="182"/>
      <c r="C450" s="182"/>
      <c r="D450" s="182"/>
      <c r="E450" s="182"/>
      <c r="F450" s="182"/>
      <c r="G450" s="182"/>
      <c r="H450" s="182"/>
      <c r="I450" s="182"/>
      <c r="J450" s="182"/>
      <c r="K450" s="182"/>
      <c r="L450" s="182"/>
      <c r="M450" s="182"/>
      <c r="N450" s="182"/>
      <c r="O450" s="182"/>
      <c r="P450" s="182"/>
      <c r="Q450" s="182"/>
    </row>
    <row r="451" spans="1:17" ht="15.75" customHeight="1" x14ac:dyDescent="0.25">
      <c r="A451" s="182"/>
      <c r="B451" s="182"/>
      <c r="C451" s="182"/>
      <c r="D451" s="182"/>
      <c r="E451" s="182"/>
      <c r="F451" s="182"/>
      <c r="G451" s="182"/>
      <c r="H451" s="182"/>
      <c r="I451" s="182"/>
      <c r="J451" s="182"/>
      <c r="K451" s="182"/>
      <c r="L451" s="182"/>
      <c r="M451" s="182"/>
      <c r="N451" s="182"/>
      <c r="O451" s="182"/>
      <c r="P451" s="182"/>
      <c r="Q451" s="182"/>
    </row>
    <row r="452" spans="1:17" ht="15.75" customHeight="1" x14ac:dyDescent="0.25">
      <c r="A452" s="182"/>
      <c r="B452" s="182"/>
      <c r="C452" s="182"/>
      <c r="D452" s="182"/>
      <c r="E452" s="182"/>
      <c r="F452" s="182"/>
      <c r="G452" s="182"/>
      <c r="H452" s="182"/>
      <c r="I452" s="182"/>
      <c r="J452" s="182"/>
      <c r="K452" s="182"/>
      <c r="L452" s="182"/>
      <c r="M452" s="182"/>
      <c r="N452" s="182"/>
      <c r="O452" s="182"/>
      <c r="P452" s="182"/>
      <c r="Q452" s="182"/>
    </row>
    <row r="453" spans="1:17" ht="15.75" customHeight="1" x14ac:dyDescent="0.25">
      <c r="A453" s="182"/>
      <c r="B453" s="182"/>
      <c r="C453" s="182"/>
      <c r="D453" s="182"/>
      <c r="E453" s="182"/>
      <c r="F453" s="182"/>
      <c r="G453" s="182"/>
      <c r="H453" s="182"/>
      <c r="I453" s="182"/>
      <c r="J453" s="182"/>
      <c r="K453" s="182"/>
      <c r="L453" s="182"/>
      <c r="M453" s="182"/>
      <c r="N453" s="182"/>
      <c r="O453" s="182"/>
      <c r="P453" s="182"/>
      <c r="Q453" s="182"/>
    </row>
    <row r="454" spans="1:17" ht="15.75" customHeight="1" x14ac:dyDescent="0.25">
      <c r="A454" s="182"/>
      <c r="B454" s="182"/>
      <c r="C454" s="182"/>
      <c r="D454" s="182"/>
      <c r="E454" s="182"/>
      <c r="F454" s="182"/>
      <c r="G454" s="182"/>
      <c r="H454" s="182"/>
      <c r="I454" s="182"/>
      <c r="J454" s="182"/>
      <c r="K454" s="182"/>
      <c r="L454" s="182"/>
      <c r="M454" s="182"/>
      <c r="N454" s="182"/>
      <c r="O454" s="182"/>
      <c r="P454" s="182"/>
      <c r="Q454" s="182"/>
    </row>
    <row r="455" spans="1:17" ht="15.75" customHeight="1" x14ac:dyDescent="0.25">
      <c r="A455" s="182"/>
      <c r="B455" s="182"/>
      <c r="C455" s="182"/>
      <c r="D455" s="182"/>
      <c r="E455" s="182"/>
      <c r="F455" s="182"/>
      <c r="G455" s="182"/>
      <c r="H455" s="182"/>
      <c r="I455" s="182"/>
      <c r="J455" s="182"/>
      <c r="K455" s="182"/>
      <c r="L455" s="182"/>
      <c r="M455" s="182"/>
      <c r="N455" s="182"/>
      <c r="O455" s="182"/>
      <c r="P455" s="182"/>
      <c r="Q455" s="182"/>
    </row>
    <row r="456" spans="1:17" ht="15.75" customHeight="1" x14ac:dyDescent="0.25">
      <c r="A456" s="182"/>
      <c r="B456" s="182"/>
      <c r="C456" s="182"/>
      <c r="D456" s="182"/>
      <c r="E456" s="182"/>
      <c r="F456" s="182"/>
      <c r="G456" s="182"/>
      <c r="H456" s="182"/>
      <c r="I456" s="182"/>
      <c r="J456" s="182"/>
      <c r="K456" s="182"/>
      <c r="L456" s="182"/>
      <c r="M456" s="182"/>
      <c r="N456" s="182"/>
      <c r="O456" s="182"/>
      <c r="P456" s="182"/>
      <c r="Q456" s="182"/>
    </row>
    <row r="457" spans="1:17" ht="15.75" customHeight="1" x14ac:dyDescent="0.25">
      <c r="A457" s="182"/>
      <c r="B457" s="182"/>
      <c r="C457" s="182"/>
      <c r="D457" s="182"/>
      <c r="E457" s="182"/>
      <c r="F457" s="182"/>
      <c r="G457" s="182"/>
      <c r="H457" s="182"/>
      <c r="I457" s="182"/>
      <c r="J457" s="182"/>
      <c r="K457" s="182"/>
      <c r="L457" s="182"/>
      <c r="M457" s="182"/>
      <c r="N457" s="182"/>
      <c r="O457" s="182"/>
      <c r="P457" s="182"/>
      <c r="Q457" s="182"/>
    </row>
    <row r="458" spans="1:17" ht="15.75" customHeight="1" x14ac:dyDescent="0.25">
      <c r="A458" s="182"/>
      <c r="B458" s="182"/>
      <c r="C458" s="182"/>
      <c r="D458" s="182"/>
      <c r="E458" s="182"/>
      <c r="F458" s="182"/>
      <c r="G458" s="182"/>
      <c r="H458" s="182"/>
      <c r="I458" s="182"/>
      <c r="J458" s="182"/>
      <c r="K458" s="182"/>
      <c r="L458" s="182"/>
      <c r="M458" s="182"/>
      <c r="N458" s="182"/>
      <c r="O458" s="182"/>
      <c r="P458" s="182"/>
      <c r="Q458" s="182"/>
    </row>
    <row r="459" spans="1:17" ht="15.75" customHeight="1" x14ac:dyDescent="0.25">
      <c r="A459" s="182"/>
      <c r="B459" s="182"/>
      <c r="C459" s="182"/>
      <c r="D459" s="182"/>
      <c r="E459" s="182"/>
      <c r="F459" s="182"/>
      <c r="G459" s="182"/>
      <c r="H459" s="182"/>
      <c r="I459" s="182"/>
      <c r="J459" s="182"/>
      <c r="K459" s="182"/>
      <c r="L459" s="182"/>
      <c r="M459" s="182"/>
      <c r="N459" s="182"/>
      <c r="O459" s="182"/>
      <c r="P459" s="182"/>
      <c r="Q459" s="182"/>
    </row>
    <row r="460" spans="1:17" ht="15.75" customHeight="1" x14ac:dyDescent="0.25">
      <c r="A460" s="182"/>
      <c r="B460" s="182"/>
      <c r="C460" s="182"/>
      <c r="D460" s="182"/>
      <c r="E460" s="182"/>
      <c r="F460" s="182"/>
      <c r="G460" s="182"/>
      <c r="H460" s="182"/>
      <c r="I460" s="182"/>
      <c r="J460" s="182"/>
      <c r="K460" s="182"/>
      <c r="L460" s="182"/>
      <c r="M460" s="182"/>
      <c r="N460" s="182"/>
      <c r="O460" s="182"/>
      <c r="P460" s="182"/>
      <c r="Q460" s="182"/>
    </row>
    <row r="461" spans="1:17" ht="15.75" customHeight="1" x14ac:dyDescent="0.25">
      <c r="A461" s="182"/>
      <c r="B461" s="182"/>
      <c r="C461" s="182"/>
      <c r="D461" s="182"/>
      <c r="E461" s="182"/>
      <c r="F461" s="182"/>
      <c r="G461" s="182"/>
      <c r="H461" s="182"/>
      <c r="I461" s="182"/>
      <c r="J461" s="182"/>
      <c r="K461" s="182"/>
      <c r="L461" s="182"/>
      <c r="M461" s="182"/>
      <c r="N461" s="182"/>
      <c r="O461" s="182"/>
      <c r="P461" s="182"/>
      <c r="Q461" s="182"/>
    </row>
    <row r="462" spans="1:17" ht="15.75" customHeight="1" x14ac:dyDescent="0.25">
      <c r="A462" s="182"/>
      <c r="B462" s="182"/>
      <c r="C462" s="182"/>
      <c r="D462" s="182"/>
      <c r="E462" s="182"/>
      <c r="F462" s="182"/>
      <c r="G462" s="182"/>
      <c r="H462" s="182"/>
      <c r="I462" s="182"/>
      <c r="J462" s="182"/>
      <c r="K462" s="182"/>
      <c r="L462" s="182"/>
      <c r="M462" s="182"/>
      <c r="N462" s="182"/>
      <c r="O462" s="182"/>
      <c r="P462" s="182"/>
      <c r="Q462" s="182"/>
    </row>
    <row r="463" spans="1:17" ht="15.75" customHeight="1" x14ac:dyDescent="0.25">
      <c r="A463" s="182"/>
      <c r="B463" s="182"/>
      <c r="C463" s="182"/>
      <c r="D463" s="182"/>
      <c r="E463" s="182"/>
      <c r="F463" s="182"/>
      <c r="G463" s="182"/>
      <c r="H463" s="182"/>
      <c r="I463" s="182"/>
      <c r="J463" s="182"/>
      <c r="K463" s="182"/>
      <c r="L463" s="182"/>
      <c r="M463" s="182"/>
      <c r="N463" s="182"/>
      <c r="O463" s="182"/>
      <c r="P463" s="182"/>
      <c r="Q463" s="182"/>
    </row>
    <row r="464" spans="1:17" ht="15.75" customHeight="1" x14ac:dyDescent="0.25">
      <c r="A464" s="182"/>
      <c r="B464" s="182"/>
      <c r="C464" s="182"/>
      <c r="D464" s="182"/>
      <c r="E464" s="182"/>
      <c r="F464" s="182"/>
      <c r="G464" s="182"/>
      <c r="H464" s="182"/>
      <c r="I464" s="182"/>
      <c r="J464" s="182"/>
      <c r="K464" s="182"/>
      <c r="L464" s="182"/>
      <c r="M464" s="182"/>
      <c r="N464" s="182"/>
      <c r="O464" s="182"/>
      <c r="P464" s="182"/>
      <c r="Q464" s="182"/>
    </row>
    <row r="465" spans="1:17" ht="15.75" customHeight="1" x14ac:dyDescent="0.25">
      <c r="A465" s="182"/>
      <c r="B465" s="182"/>
      <c r="C465" s="182"/>
      <c r="D465" s="182"/>
      <c r="E465" s="182"/>
      <c r="F465" s="182"/>
      <c r="G465" s="182"/>
      <c r="H465" s="182"/>
      <c r="I465" s="182"/>
      <c r="J465" s="182"/>
      <c r="K465" s="182"/>
      <c r="L465" s="182"/>
      <c r="M465" s="182"/>
      <c r="N465" s="182"/>
      <c r="O465" s="182"/>
      <c r="P465" s="182"/>
      <c r="Q465" s="182"/>
    </row>
    <row r="466" spans="1:17" ht="15.75" customHeight="1" x14ac:dyDescent="0.25">
      <c r="A466" s="182"/>
      <c r="B466" s="182"/>
      <c r="C466" s="182"/>
      <c r="D466" s="182"/>
      <c r="E466" s="182"/>
      <c r="F466" s="182"/>
      <c r="G466" s="182"/>
      <c r="H466" s="182"/>
      <c r="I466" s="182"/>
      <c r="J466" s="182"/>
      <c r="K466" s="182"/>
      <c r="L466" s="182"/>
      <c r="M466" s="182"/>
      <c r="N466" s="182"/>
      <c r="O466" s="182"/>
      <c r="P466" s="182"/>
      <c r="Q466" s="182"/>
    </row>
    <row r="467" spans="1:17" ht="15.75" customHeight="1" x14ac:dyDescent="0.25">
      <c r="A467" s="182"/>
      <c r="B467" s="182"/>
      <c r="C467" s="182"/>
      <c r="D467" s="182"/>
      <c r="E467" s="182"/>
      <c r="F467" s="182"/>
      <c r="G467" s="182"/>
      <c r="H467" s="182"/>
      <c r="I467" s="182"/>
      <c r="J467" s="182"/>
      <c r="K467" s="182"/>
      <c r="L467" s="182"/>
      <c r="M467" s="182"/>
      <c r="N467" s="182"/>
      <c r="O467" s="182"/>
      <c r="P467" s="182"/>
      <c r="Q467" s="182"/>
    </row>
    <row r="468" spans="1:17" ht="15.75" customHeight="1" x14ac:dyDescent="0.25">
      <c r="A468" s="182"/>
      <c r="B468" s="182"/>
      <c r="C468" s="182"/>
      <c r="D468" s="182"/>
      <c r="E468" s="182"/>
      <c r="F468" s="182"/>
      <c r="G468" s="182"/>
      <c r="H468" s="182"/>
      <c r="I468" s="182"/>
      <c r="J468" s="182"/>
      <c r="K468" s="182"/>
      <c r="L468" s="182"/>
      <c r="M468" s="182"/>
      <c r="N468" s="182"/>
      <c r="O468" s="182"/>
      <c r="P468" s="182"/>
      <c r="Q468" s="182"/>
    </row>
    <row r="469" spans="1:17" ht="15.75" customHeight="1" x14ac:dyDescent="0.25">
      <c r="A469" s="182"/>
      <c r="B469" s="182"/>
      <c r="C469" s="182"/>
      <c r="D469" s="182"/>
      <c r="E469" s="182"/>
      <c r="F469" s="182"/>
      <c r="G469" s="182"/>
      <c r="H469" s="182"/>
      <c r="I469" s="182"/>
      <c r="J469" s="182"/>
      <c r="K469" s="182"/>
      <c r="L469" s="182"/>
      <c r="M469" s="182"/>
      <c r="N469" s="182"/>
      <c r="O469" s="182"/>
      <c r="P469" s="182"/>
      <c r="Q469" s="182"/>
    </row>
    <row r="470" spans="1:17" ht="15.75" customHeight="1" x14ac:dyDescent="0.25">
      <c r="A470" s="182"/>
      <c r="B470" s="182"/>
      <c r="C470" s="182"/>
      <c r="D470" s="182"/>
      <c r="E470" s="182"/>
      <c r="F470" s="182"/>
      <c r="G470" s="182"/>
      <c r="H470" s="182"/>
      <c r="I470" s="182"/>
      <c r="J470" s="182"/>
      <c r="K470" s="182"/>
      <c r="L470" s="182"/>
      <c r="M470" s="182"/>
      <c r="N470" s="182"/>
      <c r="O470" s="182"/>
      <c r="P470" s="182"/>
      <c r="Q470" s="182"/>
    </row>
    <row r="471" spans="1:17" ht="15.75" customHeight="1" x14ac:dyDescent="0.25">
      <c r="A471" s="182"/>
      <c r="B471" s="182"/>
      <c r="C471" s="182"/>
      <c r="D471" s="182"/>
      <c r="E471" s="182"/>
      <c r="F471" s="182"/>
      <c r="G471" s="182"/>
      <c r="H471" s="182"/>
      <c r="I471" s="182"/>
      <c r="J471" s="182"/>
      <c r="K471" s="182"/>
      <c r="L471" s="182"/>
      <c r="M471" s="182"/>
      <c r="N471" s="182"/>
      <c r="O471" s="182"/>
      <c r="P471" s="182"/>
      <c r="Q471" s="182"/>
    </row>
    <row r="472" spans="1:17" ht="15.75" customHeight="1" x14ac:dyDescent="0.25">
      <c r="A472" s="182"/>
      <c r="B472" s="182"/>
      <c r="C472" s="182"/>
      <c r="D472" s="182"/>
      <c r="E472" s="182"/>
      <c r="F472" s="182"/>
      <c r="G472" s="182"/>
      <c r="H472" s="182"/>
      <c r="I472" s="182"/>
      <c r="J472" s="182"/>
      <c r="K472" s="182"/>
      <c r="L472" s="182"/>
      <c r="M472" s="182"/>
      <c r="N472" s="182"/>
      <c r="O472" s="182"/>
      <c r="P472" s="182"/>
      <c r="Q472" s="182"/>
    </row>
    <row r="473" spans="1:17" ht="15.75" customHeight="1" x14ac:dyDescent="0.25">
      <c r="A473" s="182"/>
      <c r="B473" s="182"/>
      <c r="C473" s="182"/>
      <c r="D473" s="182"/>
      <c r="E473" s="182"/>
      <c r="F473" s="182"/>
      <c r="G473" s="182"/>
      <c r="H473" s="182"/>
      <c r="I473" s="182"/>
      <c r="J473" s="182"/>
      <c r="K473" s="182"/>
      <c r="L473" s="182"/>
      <c r="M473" s="182"/>
      <c r="N473" s="182"/>
      <c r="O473" s="182"/>
      <c r="P473" s="182"/>
      <c r="Q473" s="182"/>
    </row>
    <row r="474" spans="1:17" ht="15.75" customHeight="1" x14ac:dyDescent="0.25">
      <c r="A474" s="182"/>
      <c r="B474" s="182"/>
      <c r="C474" s="182"/>
      <c r="D474" s="182"/>
      <c r="E474" s="182"/>
      <c r="F474" s="182"/>
      <c r="G474" s="182"/>
      <c r="H474" s="182"/>
      <c r="I474" s="182"/>
      <c r="J474" s="182"/>
      <c r="K474" s="182"/>
      <c r="L474" s="182"/>
      <c r="M474" s="182"/>
      <c r="N474" s="182"/>
      <c r="O474" s="182"/>
      <c r="P474" s="182"/>
      <c r="Q474" s="182"/>
    </row>
    <row r="475" spans="1:17" ht="15.75" customHeight="1" x14ac:dyDescent="0.25">
      <c r="A475" s="182"/>
      <c r="B475" s="182"/>
      <c r="C475" s="182"/>
      <c r="D475" s="182"/>
      <c r="E475" s="182"/>
      <c r="F475" s="182"/>
      <c r="G475" s="182"/>
      <c r="H475" s="182"/>
      <c r="I475" s="182"/>
      <c r="J475" s="182"/>
      <c r="K475" s="182"/>
      <c r="L475" s="182"/>
      <c r="M475" s="182"/>
      <c r="N475" s="182"/>
      <c r="O475" s="182"/>
      <c r="P475" s="182"/>
      <c r="Q475" s="182"/>
    </row>
    <row r="476" spans="1:17" ht="15.75" customHeight="1" x14ac:dyDescent="0.25">
      <c r="A476" s="182"/>
      <c r="B476" s="182"/>
      <c r="C476" s="182"/>
      <c r="D476" s="182"/>
      <c r="E476" s="182"/>
      <c r="F476" s="182"/>
      <c r="G476" s="182"/>
      <c r="H476" s="182"/>
      <c r="I476" s="182"/>
      <c r="J476" s="182"/>
      <c r="K476" s="182"/>
      <c r="L476" s="182"/>
      <c r="M476" s="182"/>
      <c r="N476" s="182"/>
      <c r="O476" s="182"/>
      <c r="P476" s="182"/>
      <c r="Q476" s="182"/>
    </row>
    <row r="477" spans="1:17" ht="15.75" customHeight="1" x14ac:dyDescent="0.25">
      <c r="A477" s="182"/>
      <c r="B477" s="182"/>
      <c r="C477" s="182"/>
      <c r="D477" s="182"/>
      <c r="E477" s="182"/>
      <c r="F477" s="182"/>
      <c r="G477" s="182"/>
      <c r="H477" s="182"/>
      <c r="I477" s="182"/>
      <c r="J477" s="182"/>
      <c r="K477" s="182"/>
      <c r="L477" s="182"/>
      <c r="M477" s="182"/>
      <c r="N477" s="182"/>
      <c r="O477" s="182"/>
      <c r="P477" s="182"/>
      <c r="Q477" s="182"/>
    </row>
    <row r="478" spans="1:17" ht="15.75" customHeight="1" x14ac:dyDescent="0.25">
      <c r="A478" s="182"/>
      <c r="B478" s="182"/>
      <c r="C478" s="182"/>
      <c r="D478" s="182"/>
      <c r="E478" s="182"/>
      <c r="F478" s="182"/>
      <c r="G478" s="182"/>
      <c r="H478" s="182"/>
      <c r="I478" s="182"/>
      <c r="J478" s="182"/>
      <c r="K478" s="182"/>
      <c r="L478" s="182"/>
      <c r="M478" s="182"/>
      <c r="N478" s="182"/>
      <c r="O478" s="182"/>
      <c r="P478" s="182"/>
      <c r="Q478" s="182"/>
    </row>
    <row r="479" spans="1:17" ht="15.75" customHeight="1" x14ac:dyDescent="0.25">
      <c r="A479" s="182"/>
      <c r="B479" s="182"/>
      <c r="C479" s="182"/>
      <c r="D479" s="182"/>
      <c r="E479" s="182"/>
      <c r="F479" s="182"/>
      <c r="G479" s="182"/>
      <c r="H479" s="182"/>
      <c r="I479" s="182"/>
      <c r="J479" s="182"/>
      <c r="K479" s="182"/>
      <c r="L479" s="182"/>
      <c r="M479" s="182"/>
      <c r="N479" s="182"/>
      <c r="O479" s="182"/>
      <c r="P479" s="182"/>
      <c r="Q479" s="182"/>
    </row>
    <row r="480" spans="1:17" ht="15.75" customHeight="1" x14ac:dyDescent="0.25">
      <c r="A480" s="182"/>
      <c r="B480" s="182"/>
      <c r="C480" s="182"/>
      <c r="D480" s="182"/>
      <c r="E480" s="182"/>
      <c r="F480" s="182"/>
      <c r="G480" s="182"/>
      <c r="H480" s="182"/>
      <c r="I480" s="182"/>
      <c r="J480" s="182"/>
      <c r="K480" s="182"/>
      <c r="L480" s="182"/>
      <c r="M480" s="182"/>
      <c r="N480" s="182"/>
      <c r="O480" s="182"/>
      <c r="P480" s="182"/>
      <c r="Q480" s="182"/>
    </row>
    <row r="481" spans="1:17" ht="15.75" customHeight="1" x14ac:dyDescent="0.25">
      <c r="A481" s="182"/>
      <c r="B481" s="182"/>
      <c r="C481" s="182"/>
      <c r="D481" s="182"/>
      <c r="E481" s="182"/>
      <c r="F481" s="182"/>
      <c r="G481" s="182"/>
      <c r="H481" s="182"/>
      <c r="I481" s="182"/>
      <c r="J481" s="182"/>
      <c r="K481" s="182"/>
      <c r="L481" s="182"/>
      <c r="M481" s="182"/>
      <c r="N481" s="182"/>
      <c r="O481" s="182"/>
      <c r="P481" s="182"/>
      <c r="Q481" s="182"/>
    </row>
    <row r="482" spans="1:17" ht="15.75" customHeight="1" x14ac:dyDescent="0.25">
      <c r="A482" s="182"/>
      <c r="B482" s="182"/>
      <c r="C482" s="182"/>
      <c r="D482" s="182"/>
      <c r="E482" s="182"/>
      <c r="F482" s="182"/>
      <c r="G482" s="182"/>
      <c r="H482" s="182"/>
      <c r="I482" s="182"/>
      <c r="J482" s="182"/>
      <c r="K482" s="182"/>
      <c r="L482" s="182"/>
      <c r="M482" s="182"/>
      <c r="N482" s="182"/>
      <c r="O482" s="182"/>
      <c r="P482" s="182"/>
      <c r="Q482" s="182"/>
    </row>
    <row r="483" spans="1:17" ht="15.75" customHeight="1" x14ac:dyDescent="0.25">
      <c r="A483" s="182"/>
      <c r="B483" s="182"/>
      <c r="C483" s="182"/>
      <c r="D483" s="182"/>
      <c r="E483" s="182"/>
      <c r="F483" s="182"/>
      <c r="G483" s="182"/>
      <c r="H483" s="182"/>
      <c r="I483" s="182"/>
      <c r="J483" s="182"/>
      <c r="K483" s="182"/>
      <c r="L483" s="182"/>
      <c r="M483" s="182"/>
      <c r="N483" s="182"/>
      <c r="O483" s="182"/>
      <c r="P483" s="182"/>
      <c r="Q483" s="182"/>
    </row>
    <row r="484" spans="1:17" ht="15.75" customHeight="1" x14ac:dyDescent="0.25">
      <c r="A484" s="182"/>
      <c r="B484" s="182"/>
      <c r="C484" s="182"/>
      <c r="D484" s="182"/>
      <c r="E484" s="182"/>
      <c r="F484" s="182"/>
      <c r="G484" s="182"/>
      <c r="H484" s="182"/>
      <c r="I484" s="182"/>
      <c r="J484" s="182"/>
      <c r="K484" s="182"/>
      <c r="L484" s="182"/>
      <c r="M484" s="182"/>
      <c r="N484" s="182"/>
      <c r="O484" s="182"/>
      <c r="P484" s="182"/>
      <c r="Q484" s="182"/>
    </row>
    <row r="485" spans="1:17" ht="15.75" customHeight="1" x14ac:dyDescent="0.25">
      <c r="A485" s="182"/>
      <c r="B485" s="182"/>
      <c r="C485" s="182"/>
      <c r="D485" s="182"/>
      <c r="E485" s="182"/>
      <c r="F485" s="182"/>
      <c r="G485" s="182"/>
      <c r="H485" s="182"/>
      <c r="I485" s="182"/>
      <c r="J485" s="182"/>
      <c r="K485" s="182"/>
      <c r="L485" s="182"/>
      <c r="M485" s="182"/>
      <c r="N485" s="182"/>
      <c r="O485" s="182"/>
      <c r="P485" s="182"/>
      <c r="Q485" s="182"/>
    </row>
    <row r="486" spans="1:17" ht="15.75" customHeight="1" x14ac:dyDescent="0.25">
      <c r="A486" s="182"/>
      <c r="B486" s="182"/>
      <c r="C486" s="182"/>
      <c r="D486" s="182"/>
      <c r="E486" s="182"/>
      <c r="F486" s="182"/>
      <c r="G486" s="182"/>
      <c r="H486" s="182"/>
      <c r="I486" s="182"/>
      <c r="J486" s="182"/>
      <c r="K486" s="182"/>
      <c r="L486" s="182"/>
      <c r="M486" s="182"/>
      <c r="N486" s="182"/>
      <c r="O486" s="182"/>
      <c r="P486" s="182"/>
      <c r="Q486" s="182"/>
    </row>
    <row r="487" spans="1:17" ht="15.75" customHeight="1" x14ac:dyDescent="0.25">
      <c r="A487" s="182"/>
      <c r="B487" s="182"/>
      <c r="C487" s="182"/>
      <c r="D487" s="182"/>
      <c r="E487" s="182"/>
      <c r="F487" s="182"/>
      <c r="G487" s="182"/>
      <c r="H487" s="182"/>
      <c r="I487" s="182"/>
      <c r="J487" s="182"/>
      <c r="K487" s="182"/>
      <c r="L487" s="182"/>
      <c r="M487" s="182"/>
      <c r="N487" s="182"/>
      <c r="O487" s="182"/>
      <c r="P487" s="182"/>
      <c r="Q487" s="182"/>
    </row>
    <row r="488" spans="1:17" ht="15.75" customHeight="1" x14ac:dyDescent="0.25">
      <c r="A488" s="182"/>
      <c r="B488" s="182"/>
      <c r="C488" s="182"/>
      <c r="D488" s="182"/>
      <c r="E488" s="182"/>
      <c r="F488" s="182"/>
      <c r="G488" s="182"/>
      <c r="H488" s="182"/>
      <c r="I488" s="182"/>
      <c r="J488" s="182"/>
      <c r="K488" s="182"/>
      <c r="L488" s="182"/>
      <c r="M488" s="182"/>
      <c r="N488" s="182"/>
      <c r="O488" s="182"/>
      <c r="P488" s="182"/>
      <c r="Q488" s="182"/>
    </row>
    <row r="489" spans="1:17" ht="15.75" customHeight="1" x14ac:dyDescent="0.25">
      <c r="A489" s="182"/>
      <c r="B489" s="182"/>
      <c r="C489" s="182"/>
      <c r="D489" s="182"/>
      <c r="E489" s="182"/>
      <c r="F489" s="182"/>
      <c r="G489" s="182"/>
      <c r="H489" s="182"/>
      <c r="I489" s="182"/>
      <c r="J489" s="182"/>
      <c r="K489" s="182"/>
      <c r="L489" s="182"/>
      <c r="M489" s="182"/>
      <c r="N489" s="182"/>
      <c r="O489" s="182"/>
      <c r="P489" s="182"/>
      <c r="Q489" s="182"/>
    </row>
    <row r="490" spans="1:17" ht="15.75" customHeight="1" x14ac:dyDescent="0.25">
      <c r="A490" s="182"/>
      <c r="B490" s="182"/>
      <c r="C490" s="182"/>
      <c r="D490" s="182"/>
      <c r="E490" s="182"/>
      <c r="F490" s="182"/>
      <c r="G490" s="182"/>
      <c r="H490" s="182"/>
      <c r="I490" s="182"/>
      <c r="J490" s="182"/>
      <c r="K490" s="182"/>
      <c r="L490" s="182"/>
      <c r="M490" s="182"/>
      <c r="N490" s="182"/>
      <c r="O490" s="182"/>
      <c r="P490" s="182"/>
      <c r="Q490" s="182"/>
    </row>
    <row r="491" spans="1:17" ht="15.75" customHeight="1" x14ac:dyDescent="0.25">
      <c r="A491" s="182"/>
      <c r="B491" s="182"/>
      <c r="C491" s="182"/>
      <c r="D491" s="182"/>
      <c r="E491" s="182"/>
      <c r="F491" s="182"/>
      <c r="G491" s="182"/>
      <c r="H491" s="182"/>
      <c r="I491" s="182"/>
      <c r="J491" s="182"/>
      <c r="K491" s="182"/>
      <c r="L491" s="182"/>
      <c r="M491" s="182"/>
      <c r="N491" s="182"/>
      <c r="O491" s="182"/>
      <c r="P491" s="182"/>
      <c r="Q491" s="182"/>
    </row>
    <row r="492" spans="1:17" ht="15.75" customHeight="1" x14ac:dyDescent="0.25">
      <c r="A492" s="182"/>
      <c r="B492" s="182"/>
      <c r="C492" s="182"/>
      <c r="D492" s="182"/>
      <c r="E492" s="182"/>
      <c r="F492" s="182"/>
      <c r="G492" s="182"/>
      <c r="H492" s="182"/>
      <c r="I492" s="182"/>
      <c r="J492" s="182"/>
      <c r="K492" s="182"/>
      <c r="L492" s="182"/>
      <c r="M492" s="182"/>
      <c r="N492" s="182"/>
      <c r="O492" s="182"/>
      <c r="P492" s="182"/>
      <c r="Q492" s="182"/>
    </row>
    <row r="493" spans="1:17" ht="15.75" customHeight="1" x14ac:dyDescent="0.25">
      <c r="A493" s="182"/>
      <c r="B493" s="182"/>
      <c r="C493" s="182"/>
      <c r="D493" s="182"/>
      <c r="E493" s="182"/>
      <c r="F493" s="182"/>
      <c r="G493" s="182"/>
      <c r="H493" s="182"/>
      <c r="I493" s="182"/>
      <c r="J493" s="182"/>
      <c r="K493" s="182"/>
      <c r="L493" s="182"/>
      <c r="M493" s="182"/>
      <c r="N493" s="182"/>
      <c r="O493" s="182"/>
      <c r="P493" s="182"/>
      <c r="Q493" s="182"/>
    </row>
    <row r="494" spans="1:17" ht="15.75" customHeight="1" x14ac:dyDescent="0.25">
      <c r="A494" s="182"/>
      <c r="B494" s="182"/>
      <c r="C494" s="182"/>
      <c r="D494" s="182"/>
      <c r="E494" s="182"/>
      <c r="F494" s="182"/>
      <c r="G494" s="182"/>
      <c r="H494" s="182"/>
      <c r="I494" s="182"/>
      <c r="J494" s="182"/>
      <c r="K494" s="182"/>
      <c r="L494" s="182"/>
      <c r="M494" s="182"/>
      <c r="N494" s="182"/>
      <c r="O494" s="182"/>
      <c r="P494" s="182"/>
      <c r="Q494" s="182"/>
    </row>
    <row r="495" spans="1:17" ht="15.75" customHeight="1" x14ac:dyDescent="0.25">
      <c r="A495" s="182"/>
      <c r="B495" s="182"/>
      <c r="C495" s="182"/>
      <c r="D495" s="182"/>
      <c r="E495" s="182"/>
      <c r="F495" s="182"/>
      <c r="G495" s="182"/>
      <c r="H495" s="182"/>
      <c r="I495" s="182"/>
      <c r="J495" s="182"/>
      <c r="K495" s="182"/>
      <c r="L495" s="182"/>
      <c r="M495" s="182"/>
      <c r="N495" s="182"/>
      <c r="O495" s="182"/>
      <c r="P495" s="182"/>
      <c r="Q495" s="182"/>
    </row>
    <row r="496" spans="1:17" ht="15.75" customHeight="1" x14ac:dyDescent="0.25">
      <c r="A496" s="182"/>
      <c r="B496" s="182"/>
      <c r="C496" s="182"/>
      <c r="D496" s="182"/>
      <c r="E496" s="182"/>
      <c r="F496" s="182"/>
      <c r="G496" s="182"/>
      <c r="H496" s="182"/>
      <c r="I496" s="182"/>
      <c r="J496" s="182"/>
      <c r="K496" s="182"/>
      <c r="L496" s="182"/>
      <c r="M496" s="182"/>
      <c r="N496" s="182"/>
      <c r="O496" s="182"/>
      <c r="P496" s="182"/>
      <c r="Q496" s="182"/>
    </row>
    <row r="497" spans="1:17" ht="15.75" customHeight="1" x14ac:dyDescent="0.25">
      <c r="A497" s="182"/>
      <c r="B497" s="182"/>
      <c r="C497" s="182"/>
      <c r="D497" s="182"/>
      <c r="E497" s="182"/>
      <c r="F497" s="182"/>
      <c r="G497" s="182"/>
      <c r="H497" s="182"/>
      <c r="I497" s="182"/>
      <c r="J497" s="182"/>
      <c r="K497" s="182"/>
      <c r="L497" s="182"/>
      <c r="M497" s="182"/>
      <c r="N497" s="182"/>
      <c r="O497" s="182"/>
      <c r="P497" s="182"/>
      <c r="Q497" s="182"/>
    </row>
    <row r="498" spans="1:17" ht="15.75" customHeight="1" x14ac:dyDescent="0.25">
      <c r="A498" s="182"/>
      <c r="B498" s="182"/>
      <c r="C498" s="182"/>
      <c r="D498" s="182"/>
      <c r="E498" s="182"/>
      <c r="F498" s="182"/>
      <c r="G498" s="182"/>
      <c r="H498" s="182"/>
      <c r="I498" s="182"/>
      <c r="J498" s="182"/>
      <c r="K498" s="182"/>
      <c r="L498" s="182"/>
      <c r="M498" s="182"/>
      <c r="N498" s="182"/>
      <c r="O498" s="182"/>
      <c r="P498" s="182"/>
      <c r="Q498" s="182"/>
    </row>
    <row r="499" spans="1:17" ht="15.75" customHeight="1" x14ac:dyDescent="0.25">
      <c r="A499" s="182"/>
      <c r="B499" s="182"/>
      <c r="C499" s="182"/>
      <c r="D499" s="182"/>
      <c r="E499" s="182"/>
      <c r="F499" s="182"/>
      <c r="G499" s="182"/>
      <c r="H499" s="182"/>
      <c r="I499" s="182"/>
      <c r="J499" s="182"/>
      <c r="K499" s="182"/>
      <c r="L499" s="182"/>
      <c r="M499" s="182"/>
      <c r="N499" s="182"/>
      <c r="O499" s="182"/>
      <c r="P499" s="182"/>
      <c r="Q499" s="182"/>
    </row>
    <row r="500" spans="1:17" ht="15.75" customHeight="1" x14ac:dyDescent="0.25">
      <c r="A500" s="182"/>
      <c r="B500" s="182"/>
      <c r="C500" s="182"/>
      <c r="D500" s="182"/>
      <c r="E500" s="182"/>
      <c r="F500" s="182"/>
      <c r="G500" s="182"/>
      <c r="H500" s="182"/>
      <c r="I500" s="182"/>
      <c r="J500" s="182"/>
      <c r="K500" s="182"/>
      <c r="L500" s="182"/>
      <c r="M500" s="182"/>
      <c r="N500" s="182"/>
      <c r="O500" s="182"/>
      <c r="P500" s="182"/>
      <c r="Q500" s="182"/>
    </row>
    <row r="501" spans="1:17" ht="15.75" customHeight="1" x14ac:dyDescent="0.25">
      <c r="A501" s="182"/>
      <c r="B501" s="182"/>
      <c r="C501" s="182"/>
      <c r="D501" s="182"/>
      <c r="E501" s="182"/>
      <c r="F501" s="182"/>
      <c r="G501" s="182"/>
      <c r="H501" s="182"/>
      <c r="I501" s="182"/>
      <c r="J501" s="182"/>
      <c r="K501" s="182"/>
      <c r="L501" s="182"/>
      <c r="M501" s="182"/>
      <c r="N501" s="182"/>
      <c r="O501" s="182"/>
      <c r="P501" s="182"/>
      <c r="Q501" s="182"/>
    </row>
    <row r="502" spans="1:17" ht="15.75" customHeight="1" x14ac:dyDescent="0.25">
      <c r="A502" s="182"/>
      <c r="B502" s="182"/>
      <c r="C502" s="182"/>
      <c r="D502" s="182"/>
      <c r="E502" s="182"/>
      <c r="F502" s="182"/>
      <c r="G502" s="182"/>
      <c r="H502" s="182"/>
      <c r="I502" s="182"/>
      <c r="J502" s="182"/>
      <c r="K502" s="182"/>
      <c r="L502" s="182"/>
      <c r="M502" s="182"/>
      <c r="N502" s="182"/>
      <c r="O502" s="182"/>
      <c r="P502" s="182"/>
      <c r="Q502" s="182"/>
    </row>
    <row r="503" spans="1:17" ht="15.75" customHeight="1" x14ac:dyDescent="0.25">
      <c r="A503" s="182"/>
      <c r="B503" s="182"/>
      <c r="C503" s="182"/>
      <c r="D503" s="182"/>
      <c r="E503" s="182"/>
      <c r="F503" s="182"/>
      <c r="G503" s="182"/>
      <c r="H503" s="182"/>
      <c r="I503" s="182"/>
      <c r="J503" s="182"/>
      <c r="K503" s="182"/>
      <c r="L503" s="182"/>
      <c r="M503" s="182"/>
      <c r="N503" s="182"/>
      <c r="O503" s="182"/>
      <c r="P503" s="182"/>
      <c r="Q503" s="182"/>
    </row>
    <row r="504" spans="1:17" ht="15.75" customHeight="1" x14ac:dyDescent="0.25">
      <c r="A504" s="182"/>
      <c r="B504" s="182"/>
      <c r="C504" s="182"/>
      <c r="D504" s="182"/>
      <c r="E504" s="182"/>
      <c r="F504" s="182"/>
      <c r="G504" s="182"/>
      <c r="H504" s="182"/>
      <c r="I504" s="182"/>
      <c r="J504" s="182"/>
      <c r="K504" s="182"/>
      <c r="L504" s="182"/>
      <c r="M504" s="182"/>
      <c r="N504" s="182"/>
      <c r="O504" s="182"/>
      <c r="P504" s="182"/>
      <c r="Q504" s="182"/>
    </row>
    <row r="505" spans="1:17" ht="15.75" customHeight="1" x14ac:dyDescent="0.25">
      <c r="A505" s="182"/>
      <c r="B505" s="182"/>
      <c r="C505" s="182"/>
      <c r="D505" s="182"/>
      <c r="E505" s="182"/>
      <c r="F505" s="182"/>
      <c r="G505" s="182"/>
      <c r="H505" s="182"/>
      <c r="I505" s="182"/>
      <c r="J505" s="182"/>
      <c r="K505" s="182"/>
      <c r="L505" s="182"/>
      <c r="M505" s="182"/>
      <c r="N505" s="182"/>
      <c r="O505" s="182"/>
      <c r="P505" s="182"/>
      <c r="Q505" s="182"/>
    </row>
    <row r="506" spans="1:17" ht="15.75" customHeight="1" x14ac:dyDescent="0.25">
      <c r="A506" s="182"/>
      <c r="B506" s="182"/>
      <c r="C506" s="182"/>
      <c r="D506" s="182"/>
      <c r="E506" s="182"/>
      <c r="F506" s="182"/>
      <c r="G506" s="182"/>
      <c r="H506" s="182"/>
      <c r="I506" s="182"/>
      <c r="J506" s="182"/>
      <c r="K506" s="182"/>
      <c r="L506" s="182"/>
      <c r="M506" s="182"/>
      <c r="N506" s="182"/>
      <c r="O506" s="182"/>
      <c r="P506" s="182"/>
      <c r="Q506" s="182"/>
    </row>
    <row r="507" spans="1:17" ht="15.75" customHeight="1" x14ac:dyDescent="0.25">
      <c r="A507" s="182"/>
      <c r="B507" s="182"/>
      <c r="C507" s="182"/>
      <c r="D507" s="182"/>
      <c r="E507" s="182"/>
      <c r="F507" s="182"/>
      <c r="G507" s="182"/>
      <c r="H507" s="182"/>
      <c r="I507" s="182"/>
      <c r="J507" s="182"/>
      <c r="K507" s="182"/>
      <c r="L507" s="182"/>
      <c r="M507" s="182"/>
      <c r="N507" s="182"/>
      <c r="O507" s="182"/>
      <c r="P507" s="182"/>
      <c r="Q507" s="182"/>
    </row>
    <row r="508" spans="1:17" ht="15.75" customHeight="1" x14ac:dyDescent="0.25">
      <c r="A508" s="182"/>
      <c r="B508" s="182"/>
      <c r="C508" s="182"/>
      <c r="D508" s="182"/>
      <c r="E508" s="182"/>
      <c r="F508" s="182"/>
      <c r="G508" s="182"/>
      <c r="H508" s="182"/>
      <c r="I508" s="182"/>
      <c r="J508" s="182"/>
      <c r="K508" s="182"/>
      <c r="L508" s="182"/>
      <c r="M508" s="182"/>
      <c r="N508" s="182"/>
      <c r="O508" s="182"/>
      <c r="P508" s="182"/>
      <c r="Q508" s="182"/>
    </row>
    <row r="509" spans="1:17" ht="15.75" customHeight="1" x14ac:dyDescent="0.25">
      <c r="A509" s="182"/>
      <c r="B509" s="182"/>
      <c r="C509" s="182"/>
      <c r="D509" s="182"/>
      <c r="E509" s="182"/>
      <c r="F509" s="182"/>
      <c r="G509" s="182"/>
      <c r="H509" s="182"/>
      <c r="I509" s="182"/>
      <c r="J509" s="182"/>
      <c r="K509" s="182"/>
      <c r="L509" s="182"/>
      <c r="M509" s="182"/>
      <c r="N509" s="182"/>
      <c r="O509" s="182"/>
      <c r="P509" s="182"/>
      <c r="Q509" s="182"/>
    </row>
    <row r="510" spans="1:17" ht="15.75" customHeight="1" x14ac:dyDescent="0.25">
      <c r="A510" s="182"/>
      <c r="B510" s="182"/>
      <c r="C510" s="182"/>
      <c r="D510" s="182"/>
      <c r="E510" s="182"/>
      <c r="F510" s="182"/>
      <c r="G510" s="182"/>
      <c r="H510" s="182"/>
      <c r="I510" s="182"/>
      <c r="J510" s="182"/>
      <c r="K510" s="182"/>
      <c r="L510" s="182"/>
      <c r="M510" s="182"/>
      <c r="N510" s="182"/>
      <c r="O510" s="182"/>
      <c r="P510" s="182"/>
      <c r="Q510" s="182"/>
    </row>
    <row r="511" spans="1:17" ht="15.75" customHeight="1" x14ac:dyDescent="0.25">
      <c r="A511" s="182"/>
      <c r="B511" s="182"/>
      <c r="C511" s="182"/>
      <c r="D511" s="182"/>
      <c r="E511" s="182"/>
      <c r="F511" s="182"/>
      <c r="G511" s="182"/>
      <c r="H511" s="182"/>
      <c r="I511" s="182"/>
      <c r="J511" s="182"/>
      <c r="K511" s="182"/>
      <c r="L511" s="182"/>
      <c r="M511" s="182"/>
      <c r="N511" s="182"/>
      <c r="O511" s="182"/>
      <c r="P511" s="182"/>
      <c r="Q511" s="182"/>
    </row>
    <row r="512" spans="1:17" ht="15.75" customHeight="1" x14ac:dyDescent="0.25">
      <c r="A512" s="182"/>
      <c r="B512" s="182"/>
      <c r="C512" s="182"/>
      <c r="D512" s="182"/>
      <c r="E512" s="182"/>
      <c r="F512" s="182"/>
      <c r="G512" s="182"/>
      <c r="H512" s="182"/>
      <c r="I512" s="182"/>
      <c r="J512" s="182"/>
      <c r="K512" s="182"/>
      <c r="L512" s="182"/>
      <c r="M512" s="182"/>
      <c r="N512" s="182"/>
      <c r="O512" s="182"/>
      <c r="P512" s="182"/>
      <c r="Q512" s="182"/>
    </row>
    <row r="513" spans="1:17" ht="15.75" customHeight="1" x14ac:dyDescent="0.25">
      <c r="A513" s="182"/>
      <c r="B513" s="182"/>
      <c r="C513" s="182"/>
      <c r="D513" s="182"/>
      <c r="E513" s="182"/>
      <c r="F513" s="182"/>
      <c r="G513" s="182"/>
      <c r="H513" s="182"/>
      <c r="I513" s="182"/>
      <c r="J513" s="182"/>
      <c r="K513" s="182"/>
      <c r="L513" s="182"/>
      <c r="M513" s="182"/>
      <c r="N513" s="182"/>
      <c r="O513" s="182"/>
      <c r="P513" s="182"/>
      <c r="Q513" s="182"/>
    </row>
    <row r="514" spans="1:17" ht="15.75" customHeight="1" x14ac:dyDescent="0.25">
      <c r="A514" s="182"/>
      <c r="B514" s="182"/>
      <c r="C514" s="182"/>
      <c r="D514" s="182"/>
      <c r="E514" s="182"/>
      <c r="F514" s="182"/>
      <c r="G514" s="182"/>
      <c r="H514" s="182"/>
      <c r="I514" s="182"/>
      <c r="J514" s="182"/>
      <c r="K514" s="182"/>
      <c r="L514" s="182"/>
      <c r="M514" s="182"/>
      <c r="N514" s="182"/>
      <c r="O514" s="182"/>
      <c r="P514" s="182"/>
      <c r="Q514" s="182"/>
    </row>
    <row r="515" spans="1:17" ht="15.75" customHeight="1" x14ac:dyDescent="0.25">
      <c r="A515" s="182"/>
      <c r="B515" s="182"/>
      <c r="C515" s="182"/>
      <c r="D515" s="182"/>
      <c r="E515" s="182"/>
      <c r="F515" s="182"/>
      <c r="G515" s="182"/>
      <c r="H515" s="182"/>
      <c r="I515" s="182"/>
      <c r="J515" s="182"/>
      <c r="K515" s="182"/>
      <c r="L515" s="182"/>
      <c r="M515" s="182"/>
      <c r="N515" s="182"/>
      <c r="O515" s="182"/>
      <c r="P515" s="182"/>
      <c r="Q515" s="182"/>
    </row>
    <row r="516" spans="1:17" ht="15.75" customHeight="1" x14ac:dyDescent="0.25">
      <c r="A516" s="182"/>
      <c r="B516" s="182"/>
      <c r="C516" s="182"/>
      <c r="D516" s="182"/>
      <c r="E516" s="182"/>
      <c r="F516" s="182"/>
      <c r="G516" s="182"/>
      <c r="H516" s="182"/>
      <c r="I516" s="182"/>
      <c r="J516" s="182"/>
      <c r="K516" s="182"/>
      <c r="L516" s="182"/>
      <c r="M516" s="182"/>
      <c r="N516" s="182"/>
      <c r="O516" s="182"/>
      <c r="P516" s="182"/>
      <c r="Q516" s="182"/>
    </row>
    <row r="517" spans="1:17" ht="15.75" customHeight="1" x14ac:dyDescent="0.25">
      <c r="A517" s="182"/>
      <c r="B517" s="182"/>
      <c r="C517" s="182"/>
      <c r="D517" s="182"/>
      <c r="E517" s="182"/>
      <c r="F517" s="182"/>
      <c r="G517" s="182"/>
      <c r="H517" s="182"/>
      <c r="I517" s="182"/>
      <c r="J517" s="182"/>
      <c r="K517" s="182"/>
      <c r="L517" s="182"/>
      <c r="M517" s="182"/>
      <c r="N517" s="182"/>
      <c r="O517" s="182"/>
      <c r="P517" s="182"/>
      <c r="Q517" s="182"/>
    </row>
    <row r="518" spans="1:17" ht="15.75" customHeight="1" x14ac:dyDescent="0.25">
      <c r="A518" s="182"/>
      <c r="B518" s="182"/>
      <c r="C518" s="182"/>
      <c r="D518" s="182"/>
      <c r="E518" s="182"/>
      <c r="F518" s="182"/>
      <c r="G518" s="182"/>
      <c r="H518" s="182"/>
      <c r="I518" s="182"/>
      <c r="J518" s="182"/>
      <c r="K518" s="182"/>
      <c r="L518" s="182"/>
      <c r="M518" s="182"/>
      <c r="N518" s="182"/>
      <c r="O518" s="182"/>
      <c r="P518" s="182"/>
      <c r="Q518" s="182"/>
    </row>
    <row r="519" spans="1:17" ht="15.75" customHeight="1" x14ac:dyDescent="0.25">
      <c r="A519" s="182"/>
      <c r="B519" s="182"/>
      <c r="C519" s="182"/>
      <c r="D519" s="182"/>
      <c r="E519" s="182"/>
      <c r="F519" s="182"/>
      <c r="G519" s="182"/>
      <c r="H519" s="182"/>
      <c r="I519" s="182"/>
      <c r="J519" s="182"/>
      <c r="K519" s="182"/>
      <c r="L519" s="182"/>
      <c r="M519" s="182"/>
      <c r="N519" s="182"/>
      <c r="O519" s="182"/>
      <c r="P519" s="182"/>
      <c r="Q519" s="182"/>
    </row>
    <row r="520" spans="1:17" ht="15.75" customHeight="1" x14ac:dyDescent="0.25">
      <c r="A520" s="182"/>
      <c r="B520" s="182"/>
      <c r="C520" s="182"/>
      <c r="D520" s="182"/>
      <c r="E520" s="182"/>
      <c r="F520" s="182"/>
      <c r="G520" s="182"/>
      <c r="H520" s="182"/>
      <c r="I520" s="182"/>
      <c r="J520" s="182"/>
      <c r="K520" s="182"/>
      <c r="L520" s="182"/>
      <c r="M520" s="182"/>
      <c r="N520" s="182"/>
      <c r="O520" s="182"/>
      <c r="P520" s="182"/>
      <c r="Q520" s="182"/>
    </row>
    <row r="521" spans="1:17" ht="15.75" customHeight="1" x14ac:dyDescent="0.25">
      <c r="A521" s="182"/>
      <c r="B521" s="182"/>
      <c r="C521" s="182"/>
      <c r="D521" s="182"/>
      <c r="E521" s="182"/>
      <c r="F521" s="182"/>
      <c r="G521" s="182"/>
      <c r="H521" s="182"/>
      <c r="I521" s="182"/>
      <c r="J521" s="182"/>
      <c r="K521" s="182"/>
      <c r="L521" s="182"/>
      <c r="M521" s="182"/>
      <c r="N521" s="182"/>
      <c r="O521" s="182"/>
      <c r="P521" s="182"/>
      <c r="Q521" s="182"/>
    </row>
    <row r="522" spans="1:17" ht="15.75" customHeight="1" x14ac:dyDescent="0.25">
      <c r="A522" s="182"/>
      <c r="B522" s="182"/>
      <c r="C522" s="182"/>
      <c r="D522" s="182"/>
      <c r="E522" s="182"/>
      <c r="F522" s="182"/>
      <c r="G522" s="182"/>
      <c r="H522" s="182"/>
      <c r="I522" s="182"/>
      <c r="J522" s="182"/>
      <c r="K522" s="182"/>
      <c r="L522" s="182"/>
      <c r="M522" s="182"/>
      <c r="N522" s="182"/>
      <c r="O522" s="182"/>
      <c r="P522" s="182"/>
      <c r="Q522" s="182"/>
    </row>
    <row r="523" spans="1:17" ht="15.75" customHeight="1" x14ac:dyDescent="0.25">
      <c r="A523" s="182"/>
      <c r="B523" s="182"/>
      <c r="C523" s="182"/>
      <c r="D523" s="182"/>
      <c r="E523" s="182"/>
      <c r="F523" s="182"/>
      <c r="G523" s="182"/>
      <c r="H523" s="182"/>
      <c r="I523" s="182"/>
      <c r="J523" s="182"/>
      <c r="K523" s="182"/>
      <c r="L523" s="182"/>
      <c r="M523" s="182"/>
      <c r="N523" s="182"/>
      <c r="O523" s="182"/>
      <c r="P523" s="182"/>
      <c r="Q523" s="182"/>
    </row>
    <row r="524" spans="1:17" ht="15.75" customHeight="1" x14ac:dyDescent="0.25">
      <c r="A524" s="182"/>
      <c r="B524" s="182"/>
      <c r="C524" s="182"/>
      <c r="D524" s="182"/>
      <c r="E524" s="182"/>
      <c r="F524" s="182"/>
      <c r="G524" s="182"/>
      <c r="H524" s="182"/>
      <c r="I524" s="182"/>
      <c r="J524" s="182"/>
      <c r="K524" s="182"/>
      <c r="L524" s="182"/>
      <c r="M524" s="182"/>
      <c r="N524" s="182"/>
      <c r="O524" s="182"/>
      <c r="P524" s="182"/>
      <c r="Q524" s="182"/>
    </row>
    <row r="525" spans="1:17" ht="15.75" customHeight="1" x14ac:dyDescent="0.25">
      <c r="A525" s="182"/>
      <c r="B525" s="182"/>
      <c r="C525" s="182"/>
      <c r="D525" s="182"/>
      <c r="E525" s="182"/>
      <c r="F525" s="182"/>
      <c r="G525" s="182"/>
      <c r="H525" s="182"/>
      <c r="I525" s="182"/>
      <c r="J525" s="182"/>
      <c r="K525" s="182"/>
      <c r="L525" s="182"/>
      <c r="M525" s="182"/>
      <c r="N525" s="182"/>
      <c r="O525" s="182"/>
      <c r="P525" s="182"/>
      <c r="Q525" s="182"/>
    </row>
    <row r="526" spans="1:17" ht="15.75" customHeight="1" x14ac:dyDescent="0.25">
      <c r="A526" s="182"/>
      <c r="B526" s="182"/>
      <c r="C526" s="182"/>
      <c r="D526" s="182"/>
      <c r="E526" s="182"/>
      <c r="F526" s="182"/>
      <c r="G526" s="182"/>
      <c r="H526" s="182"/>
      <c r="I526" s="182"/>
      <c r="J526" s="182"/>
      <c r="K526" s="182"/>
      <c r="L526" s="182"/>
      <c r="M526" s="182"/>
      <c r="N526" s="182"/>
      <c r="O526" s="182"/>
      <c r="P526" s="182"/>
      <c r="Q526" s="182"/>
    </row>
    <row r="527" spans="1:17" ht="15.75" customHeight="1" x14ac:dyDescent="0.25">
      <c r="A527" s="182"/>
      <c r="B527" s="182"/>
      <c r="C527" s="182"/>
      <c r="D527" s="182"/>
      <c r="E527" s="182"/>
      <c r="F527" s="182"/>
      <c r="G527" s="182"/>
      <c r="H527" s="182"/>
      <c r="I527" s="182"/>
      <c r="J527" s="182"/>
      <c r="K527" s="182"/>
      <c r="L527" s="182"/>
      <c r="M527" s="182"/>
      <c r="N527" s="182"/>
      <c r="O527" s="182"/>
      <c r="P527" s="182"/>
      <c r="Q527" s="182"/>
    </row>
    <row r="528" spans="1:17" ht="15.75" customHeight="1" x14ac:dyDescent="0.25">
      <c r="A528" s="182"/>
      <c r="B528" s="182"/>
      <c r="C528" s="182"/>
      <c r="D528" s="182"/>
      <c r="E528" s="182"/>
      <c r="F528" s="182"/>
      <c r="G528" s="182"/>
      <c r="H528" s="182"/>
      <c r="I528" s="182"/>
      <c r="J528" s="182"/>
      <c r="K528" s="182"/>
      <c r="L528" s="182"/>
      <c r="M528" s="182"/>
      <c r="N528" s="182"/>
      <c r="O528" s="182"/>
      <c r="P528" s="182"/>
      <c r="Q528" s="182"/>
    </row>
    <row r="529" spans="1:17" ht="15.75" customHeight="1" x14ac:dyDescent="0.25">
      <c r="A529" s="182"/>
      <c r="B529" s="182"/>
      <c r="C529" s="182"/>
      <c r="D529" s="182"/>
      <c r="E529" s="182"/>
      <c r="F529" s="182"/>
      <c r="G529" s="182"/>
      <c r="H529" s="182"/>
      <c r="I529" s="182"/>
      <c r="J529" s="182"/>
      <c r="K529" s="182"/>
      <c r="L529" s="182"/>
      <c r="M529" s="182"/>
      <c r="N529" s="182"/>
      <c r="O529" s="182"/>
      <c r="P529" s="182"/>
      <c r="Q529" s="182"/>
    </row>
    <row r="530" spans="1:17" ht="15.75" customHeight="1" x14ac:dyDescent="0.25">
      <c r="A530" s="182"/>
      <c r="B530" s="182"/>
      <c r="C530" s="182"/>
      <c r="D530" s="182"/>
      <c r="E530" s="182"/>
      <c r="F530" s="182"/>
      <c r="G530" s="182"/>
      <c r="H530" s="182"/>
      <c r="I530" s="182"/>
      <c r="J530" s="182"/>
      <c r="K530" s="182"/>
      <c r="L530" s="182"/>
      <c r="M530" s="182"/>
      <c r="N530" s="182"/>
      <c r="O530" s="182"/>
      <c r="P530" s="182"/>
      <c r="Q530" s="182"/>
    </row>
    <row r="531" spans="1:17" ht="15.75" customHeight="1" x14ac:dyDescent="0.25">
      <c r="A531" s="182"/>
      <c r="B531" s="182"/>
      <c r="C531" s="182"/>
      <c r="D531" s="182"/>
      <c r="E531" s="182"/>
      <c r="F531" s="182"/>
      <c r="G531" s="182"/>
      <c r="H531" s="182"/>
      <c r="I531" s="182"/>
      <c r="J531" s="182"/>
      <c r="K531" s="182"/>
      <c r="L531" s="182"/>
      <c r="M531" s="182"/>
      <c r="N531" s="182"/>
      <c r="O531" s="182"/>
      <c r="P531" s="182"/>
      <c r="Q531" s="182"/>
    </row>
    <row r="532" spans="1:17" ht="15.75" customHeight="1" x14ac:dyDescent="0.25">
      <c r="A532" s="182"/>
      <c r="B532" s="182"/>
      <c r="C532" s="182"/>
      <c r="D532" s="182"/>
      <c r="E532" s="182"/>
      <c r="F532" s="182"/>
      <c r="G532" s="182"/>
      <c r="H532" s="182"/>
      <c r="I532" s="182"/>
      <c r="J532" s="182"/>
      <c r="K532" s="182"/>
      <c r="L532" s="182"/>
      <c r="M532" s="182"/>
      <c r="N532" s="182"/>
      <c r="O532" s="182"/>
      <c r="P532" s="182"/>
      <c r="Q532" s="182"/>
    </row>
    <row r="533" spans="1:17" ht="15.75" customHeight="1" x14ac:dyDescent="0.25">
      <c r="A533" s="182"/>
      <c r="B533" s="182"/>
      <c r="C533" s="182"/>
      <c r="D533" s="182"/>
      <c r="E533" s="182"/>
      <c r="F533" s="182"/>
      <c r="G533" s="182"/>
      <c r="H533" s="182"/>
      <c r="I533" s="182"/>
      <c r="J533" s="182"/>
      <c r="K533" s="182"/>
      <c r="L533" s="182"/>
      <c r="M533" s="182"/>
      <c r="N533" s="182"/>
      <c r="O533" s="182"/>
      <c r="P533" s="182"/>
      <c r="Q533" s="182"/>
    </row>
    <row r="534" spans="1:17" ht="15.75" customHeight="1" x14ac:dyDescent="0.25">
      <c r="A534" s="182"/>
      <c r="B534" s="182"/>
      <c r="C534" s="182"/>
      <c r="D534" s="182"/>
      <c r="E534" s="182"/>
      <c r="F534" s="182"/>
      <c r="G534" s="182"/>
      <c r="H534" s="182"/>
      <c r="I534" s="182"/>
      <c r="J534" s="182"/>
      <c r="K534" s="182"/>
      <c r="L534" s="182"/>
      <c r="M534" s="182"/>
      <c r="N534" s="182"/>
      <c r="O534" s="182"/>
      <c r="P534" s="182"/>
      <c r="Q534" s="182"/>
    </row>
    <row r="535" spans="1:17" ht="15.75" customHeight="1" x14ac:dyDescent="0.25">
      <c r="A535" s="182"/>
      <c r="B535" s="182"/>
      <c r="C535" s="182"/>
      <c r="D535" s="182"/>
      <c r="E535" s="182"/>
      <c r="F535" s="182"/>
      <c r="G535" s="182"/>
      <c r="H535" s="182"/>
      <c r="I535" s="182"/>
      <c r="J535" s="182"/>
      <c r="K535" s="182"/>
      <c r="L535" s="182"/>
      <c r="M535" s="182"/>
      <c r="N535" s="182"/>
      <c r="O535" s="182"/>
      <c r="P535" s="182"/>
      <c r="Q535" s="182"/>
    </row>
    <row r="536" spans="1:17" ht="15.75" customHeight="1" x14ac:dyDescent="0.25">
      <c r="A536" s="182"/>
      <c r="B536" s="182"/>
      <c r="C536" s="182"/>
      <c r="D536" s="182"/>
      <c r="E536" s="182"/>
      <c r="F536" s="182"/>
      <c r="G536" s="182"/>
      <c r="H536" s="182"/>
      <c r="I536" s="182"/>
      <c r="J536" s="182"/>
      <c r="K536" s="182"/>
      <c r="L536" s="182"/>
      <c r="M536" s="182"/>
      <c r="N536" s="182"/>
      <c r="O536" s="182"/>
      <c r="P536" s="182"/>
      <c r="Q536" s="182"/>
    </row>
    <row r="537" spans="1:17" ht="15.75" customHeight="1" x14ac:dyDescent="0.25">
      <c r="A537" s="182"/>
      <c r="B537" s="182"/>
      <c r="C537" s="182"/>
      <c r="D537" s="182"/>
      <c r="E537" s="182"/>
      <c r="F537" s="182"/>
      <c r="G537" s="182"/>
      <c r="H537" s="182"/>
      <c r="I537" s="182"/>
      <c r="J537" s="182"/>
      <c r="K537" s="182"/>
      <c r="L537" s="182"/>
      <c r="M537" s="182"/>
      <c r="N537" s="182"/>
      <c r="O537" s="182"/>
      <c r="P537" s="182"/>
      <c r="Q537" s="182"/>
    </row>
    <row r="538" spans="1:17" ht="15.75" customHeight="1" x14ac:dyDescent="0.25">
      <c r="A538" s="182"/>
      <c r="B538" s="182"/>
      <c r="C538" s="182"/>
      <c r="D538" s="182"/>
      <c r="E538" s="182"/>
      <c r="F538" s="182"/>
      <c r="G538" s="182"/>
      <c r="H538" s="182"/>
      <c r="I538" s="182"/>
      <c r="J538" s="182"/>
      <c r="K538" s="182"/>
      <c r="L538" s="182"/>
      <c r="M538" s="182"/>
      <c r="N538" s="182"/>
      <c r="O538" s="182"/>
      <c r="P538" s="182"/>
      <c r="Q538" s="182"/>
    </row>
    <row r="539" spans="1:17" ht="15.75" customHeight="1" x14ac:dyDescent="0.25">
      <c r="A539" s="182"/>
      <c r="B539" s="182"/>
      <c r="C539" s="182"/>
      <c r="D539" s="182"/>
      <c r="E539" s="182"/>
      <c r="F539" s="182"/>
      <c r="G539" s="182"/>
      <c r="H539" s="182"/>
      <c r="I539" s="182"/>
      <c r="J539" s="182"/>
      <c r="K539" s="182"/>
      <c r="L539" s="182"/>
      <c r="M539" s="182"/>
      <c r="N539" s="182"/>
      <c r="O539" s="182"/>
      <c r="P539" s="182"/>
      <c r="Q539" s="182"/>
    </row>
    <row r="540" spans="1:17" ht="15.75" customHeight="1" x14ac:dyDescent="0.25">
      <c r="A540" s="182"/>
      <c r="B540" s="182"/>
      <c r="C540" s="182"/>
      <c r="D540" s="182"/>
      <c r="E540" s="182"/>
      <c r="F540" s="182"/>
      <c r="G540" s="182"/>
      <c r="H540" s="182"/>
      <c r="I540" s="182"/>
      <c r="J540" s="182"/>
      <c r="K540" s="182"/>
      <c r="L540" s="182"/>
      <c r="M540" s="182"/>
      <c r="N540" s="182"/>
      <c r="O540" s="182"/>
      <c r="P540" s="182"/>
      <c r="Q540" s="182"/>
    </row>
    <row r="541" spans="1:17" ht="15.75" customHeight="1" x14ac:dyDescent="0.25">
      <c r="A541" s="182"/>
      <c r="B541" s="182"/>
      <c r="C541" s="182"/>
      <c r="D541" s="182"/>
      <c r="E541" s="182"/>
      <c r="F541" s="182"/>
      <c r="G541" s="182"/>
      <c r="H541" s="182"/>
      <c r="I541" s="182"/>
      <c r="J541" s="182"/>
      <c r="K541" s="182"/>
      <c r="L541" s="182"/>
      <c r="M541" s="182"/>
      <c r="N541" s="182"/>
      <c r="O541" s="182"/>
      <c r="P541" s="182"/>
      <c r="Q541" s="182"/>
    </row>
    <row r="542" spans="1:17" ht="15.75" customHeight="1" x14ac:dyDescent="0.25">
      <c r="A542" s="182"/>
      <c r="B542" s="182"/>
      <c r="C542" s="182"/>
      <c r="D542" s="182"/>
      <c r="E542" s="182"/>
      <c r="F542" s="182"/>
      <c r="G542" s="182"/>
      <c r="H542" s="182"/>
      <c r="I542" s="182"/>
      <c r="J542" s="182"/>
      <c r="K542" s="182"/>
      <c r="L542" s="182"/>
      <c r="M542" s="182"/>
      <c r="N542" s="182"/>
      <c r="O542" s="182"/>
      <c r="P542" s="182"/>
      <c r="Q542" s="182"/>
    </row>
    <row r="543" spans="1:17" ht="15.75" customHeight="1" x14ac:dyDescent="0.25">
      <c r="A543" s="182"/>
      <c r="B543" s="182"/>
      <c r="C543" s="182"/>
      <c r="D543" s="182"/>
      <c r="E543" s="182"/>
      <c r="F543" s="182"/>
      <c r="G543" s="182"/>
      <c r="H543" s="182"/>
      <c r="I543" s="182"/>
      <c r="J543" s="182"/>
      <c r="K543" s="182"/>
      <c r="L543" s="182"/>
      <c r="M543" s="182"/>
      <c r="N543" s="182"/>
      <c r="O543" s="182"/>
      <c r="P543" s="182"/>
      <c r="Q543" s="182"/>
    </row>
    <row r="544" spans="1:17" ht="15.75" customHeight="1" x14ac:dyDescent="0.25">
      <c r="A544" s="182"/>
      <c r="B544" s="182"/>
      <c r="C544" s="182"/>
      <c r="D544" s="182"/>
      <c r="E544" s="182"/>
      <c r="F544" s="182"/>
      <c r="G544" s="182"/>
      <c r="H544" s="182"/>
      <c r="I544" s="182"/>
      <c r="J544" s="182"/>
      <c r="K544" s="182"/>
      <c r="L544" s="182"/>
      <c r="M544" s="182"/>
      <c r="N544" s="182"/>
      <c r="O544" s="182"/>
      <c r="P544" s="182"/>
      <c r="Q544" s="182"/>
    </row>
    <row r="545" spans="1:17" ht="15.75" customHeight="1" x14ac:dyDescent="0.25">
      <c r="A545" s="182"/>
      <c r="B545" s="182"/>
      <c r="C545" s="182"/>
      <c r="D545" s="182"/>
      <c r="E545" s="182"/>
      <c r="F545" s="182"/>
      <c r="G545" s="182"/>
      <c r="H545" s="182"/>
      <c r="I545" s="182"/>
      <c r="J545" s="182"/>
      <c r="K545" s="182"/>
      <c r="L545" s="182"/>
      <c r="M545" s="182"/>
      <c r="N545" s="182"/>
      <c r="O545" s="182"/>
      <c r="P545" s="182"/>
      <c r="Q545" s="182"/>
    </row>
    <row r="546" spans="1:17" ht="15.75" customHeight="1" x14ac:dyDescent="0.25">
      <c r="A546" s="182"/>
      <c r="B546" s="182"/>
      <c r="C546" s="182"/>
      <c r="D546" s="182"/>
      <c r="E546" s="182"/>
      <c r="F546" s="182"/>
      <c r="G546" s="182"/>
      <c r="H546" s="182"/>
      <c r="I546" s="182"/>
      <c r="J546" s="182"/>
      <c r="K546" s="182"/>
      <c r="L546" s="182"/>
      <c r="M546" s="182"/>
      <c r="N546" s="182"/>
      <c r="O546" s="182"/>
      <c r="P546" s="182"/>
      <c r="Q546" s="182"/>
    </row>
    <row r="547" spans="1:17" ht="15.75" customHeight="1" x14ac:dyDescent="0.25">
      <c r="A547" s="182"/>
      <c r="B547" s="182"/>
      <c r="C547" s="182"/>
      <c r="D547" s="182"/>
      <c r="E547" s="182"/>
      <c r="F547" s="182"/>
      <c r="G547" s="182"/>
      <c r="H547" s="182"/>
      <c r="I547" s="182"/>
      <c r="J547" s="182"/>
      <c r="K547" s="182"/>
      <c r="L547" s="182"/>
      <c r="M547" s="182"/>
      <c r="N547" s="182"/>
      <c r="O547" s="182"/>
      <c r="P547" s="182"/>
      <c r="Q547" s="182"/>
    </row>
    <row r="548" spans="1:17" ht="15.75" customHeight="1" x14ac:dyDescent="0.25">
      <c r="A548" s="182"/>
      <c r="B548" s="182"/>
      <c r="C548" s="182"/>
      <c r="D548" s="182"/>
      <c r="E548" s="182"/>
      <c r="F548" s="182"/>
      <c r="G548" s="182"/>
      <c r="H548" s="182"/>
      <c r="I548" s="182"/>
      <c r="J548" s="182"/>
      <c r="K548" s="182"/>
      <c r="L548" s="182"/>
      <c r="M548" s="182"/>
      <c r="N548" s="182"/>
      <c r="O548" s="182"/>
      <c r="P548" s="182"/>
      <c r="Q548" s="182"/>
    </row>
    <row r="549" spans="1:17" ht="15.75" customHeight="1" x14ac:dyDescent="0.25">
      <c r="A549" s="182"/>
      <c r="B549" s="182"/>
      <c r="C549" s="182"/>
      <c r="D549" s="182"/>
      <c r="E549" s="182"/>
      <c r="F549" s="182"/>
      <c r="G549" s="182"/>
      <c r="H549" s="182"/>
      <c r="I549" s="182"/>
      <c r="J549" s="182"/>
      <c r="K549" s="182"/>
      <c r="L549" s="182"/>
      <c r="M549" s="182"/>
      <c r="N549" s="182"/>
      <c r="O549" s="182"/>
      <c r="P549" s="182"/>
      <c r="Q549" s="182"/>
    </row>
    <row r="550" spans="1:17" ht="15.75" customHeight="1" x14ac:dyDescent="0.25">
      <c r="A550" s="182"/>
      <c r="B550" s="182"/>
      <c r="C550" s="182"/>
      <c r="D550" s="182"/>
      <c r="E550" s="182"/>
      <c r="F550" s="182"/>
      <c r="G550" s="182"/>
      <c r="H550" s="182"/>
      <c r="I550" s="182"/>
      <c r="J550" s="182"/>
      <c r="K550" s="182"/>
      <c r="L550" s="182"/>
      <c r="M550" s="182"/>
      <c r="N550" s="182"/>
      <c r="O550" s="182"/>
      <c r="P550" s="182"/>
      <c r="Q550" s="182"/>
    </row>
    <row r="551" spans="1:17" ht="15.75" customHeight="1" x14ac:dyDescent="0.25">
      <c r="A551" s="182"/>
      <c r="B551" s="182"/>
      <c r="C551" s="182"/>
      <c r="D551" s="182"/>
      <c r="E551" s="182"/>
      <c r="F551" s="182"/>
      <c r="G551" s="182"/>
      <c r="H551" s="182"/>
      <c r="I551" s="182"/>
      <c r="J551" s="182"/>
      <c r="K551" s="182"/>
      <c r="L551" s="182"/>
      <c r="M551" s="182"/>
      <c r="N551" s="182"/>
      <c r="O551" s="182"/>
      <c r="P551" s="182"/>
      <c r="Q551" s="182"/>
    </row>
    <row r="552" spans="1:17" ht="15.75" customHeight="1" x14ac:dyDescent="0.25">
      <c r="A552" s="182"/>
      <c r="B552" s="182"/>
      <c r="C552" s="182"/>
      <c r="D552" s="182"/>
      <c r="E552" s="182"/>
      <c r="F552" s="182"/>
      <c r="G552" s="182"/>
      <c r="H552" s="182"/>
      <c r="I552" s="182"/>
      <c r="J552" s="182"/>
      <c r="K552" s="182"/>
      <c r="L552" s="182"/>
      <c r="M552" s="182"/>
      <c r="N552" s="182"/>
      <c r="O552" s="182"/>
      <c r="P552" s="182"/>
      <c r="Q552" s="182"/>
    </row>
    <row r="553" spans="1:17" ht="15.75" customHeight="1" x14ac:dyDescent="0.25">
      <c r="A553" s="182"/>
      <c r="B553" s="182"/>
      <c r="C553" s="182"/>
      <c r="D553" s="182"/>
      <c r="E553" s="182"/>
      <c r="F553" s="182"/>
      <c r="G553" s="182"/>
      <c r="H553" s="182"/>
      <c r="I553" s="182"/>
      <c r="J553" s="182"/>
      <c r="K553" s="182"/>
      <c r="L553" s="182"/>
      <c r="M553" s="182"/>
      <c r="N553" s="182"/>
      <c r="O553" s="182"/>
      <c r="P553" s="182"/>
      <c r="Q553" s="182"/>
    </row>
    <row r="554" spans="1:17" ht="15.75" customHeight="1" x14ac:dyDescent="0.25">
      <c r="A554" s="182"/>
      <c r="B554" s="182"/>
      <c r="C554" s="182"/>
      <c r="D554" s="182"/>
      <c r="E554" s="182"/>
      <c r="F554" s="182"/>
      <c r="G554" s="182"/>
      <c r="H554" s="182"/>
      <c r="I554" s="182"/>
      <c r="J554" s="182"/>
      <c r="K554" s="182"/>
      <c r="L554" s="182"/>
      <c r="M554" s="182"/>
      <c r="N554" s="182"/>
      <c r="O554" s="182"/>
      <c r="P554" s="182"/>
      <c r="Q554" s="182"/>
    </row>
    <row r="555" spans="1:17" ht="15.75" customHeight="1" x14ac:dyDescent="0.25">
      <c r="A555" s="182"/>
      <c r="B555" s="182"/>
      <c r="C555" s="182"/>
      <c r="D555" s="182"/>
      <c r="E555" s="182"/>
      <c r="F555" s="182"/>
      <c r="G555" s="182"/>
      <c r="H555" s="182"/>
      <c r="I555" s="182"/>
      <c r="J555" s="182"/>
      <c r="K555" s="182"/>
      <c r="L555" s="182"/>
      <c r="M555" s="182"/>
      <c r="N555" s="182"/>
      <c r="O555" s="182"/>
      <c r="P555" s="182"/>
      <c r="Q555" s="182"/>
    </row>
    <row r="556" spans="1:17" ht="15.75" customHeight="1" x14ac:dyDescent="0.25">
      <c r="A556" s="182"/>
      <c r="B556" s="182"/>
      <c r="C556" s="182"/>
      <c r="D556" s="182"/>
      <c r="E556" s="182"/>
      <c r="F556" s="182"/>
      <c r="G556" s="182"/>
      <c r="H556" s="182"/>
      <c r="I556" s="182"/>
      <c r="J556" s="182"/>
      <c r="K556" s="182"/>
      <c r="L556" s="182"/>
      <c r="M556" s="182"/>
      <c r="N556" s="182"/>
      <c r="O556" s="182"/>
      <c r="P556" s="182"/>
      <c r="Q556" s="182"/>
    </row>
    <row r="557" spans="1:17" ht="15.75" customHeight="1" x14ac:dyDescent="0.25">
      <c r="A557" s="182"/>
      <c r="B557" s="182"/>
      <c r="C557" s="182"/>
      <c r="D557" s="182"/>
      <c r="E557" s="182"/>
      <c r="F557" s="182"/>
      <c r="G557" s="182"/>
      <c r="H557" s="182"/>
      <c r="I557" s="182"/>
      <c r="J557" s="182"/>
      <c r="K557" s="182"/>
      <c r="L557" s="182"/>
      <c r="M557" s="182"/>
      <c r="N557" s="182"/>
      <c r="O557" s="182"/>
      <c r="P557" s="182"/>
      <c r="Q557" s="182"/>
    </row>
    <row r="558" spans="1:17" ht="15.75" customHeight="1" x14ac:dyDescent="0.25">
      <c r="A558" s="182"/>
      <c r="B558" s="182"/>
      <c r="C558" s="182"/>
      <c r="D558" s="182"/>
      <c r="E558" s="182"/>
      <c r="F558" s="182"/>
      <c r="G558" s="182"/>
      <c r="H558" s="182"/>
      <c r="I558" s="182"/>
      <c r="J558" s="182"/>
      <c r="K558" s="182"/>
      <c r="L558" s="182"/>
      <c r="M558" s="182"/>
      <c r="N558" s="182"/>
      <c r="O558" s="182"/>
      <c r="P558" s="182"/>
      <c r="Q558" s="182"/>
    </row>
    <row r="559" spans="1:17" ht="15.75" customHeight="1" x14ac:dyDescent="0.25">
      <c r="A559" s="182"/>
      <c r="B559" s="182"/>
      <c r="C559" s="182"/>
      <c r="D559" s="182"/>
      <c r="E559" s="182"/>
      <c r="F559" s="182"/>
      <c r="G559" s="182"/>
      <c r="H559" s="182"/>
      <c r="I559" s="182"/>
      <c r="J559" s="182"/>
      <c r="K559" s="182"/>
      <c r="L559" s="182"/>
      <c r="M559" s="182"/>
      <c r="N559" s="182"/>
      <c r="O559" s="182"/>
      <c r="P559" s="182"/>
      <c r="Q559" s="182"/>
    </row>
    <row r="560" spans="1:17" ht="15.75" customHeight="1" x14ac:dyDescent="0.25">
      <c r="A560" s="182"/>
      <c r="B560" s="182"/>
      <c r="C560" s="182"/>
      <c r="D560" s="182"/>
      <c r="E560" s="182"/>
      <c r="F560" s="182"/>
      <c r="G560" s="182"/>
      <c r="H560" s="182"/>
      <c r="I560" s="182"/>
      <c r="J560" s="182"/>
      <c r="K560" s="182"/>
      <c r="L560" s="182"/>
      <c r="M560" s="182"/>
      <c r="N560" s="182"/>
      <c r="O560" s="182"/>
      <c r="P560" s="182"/>
      <c r="Q560" s="182"/>
    </row>
    <row r="561" spans="1:17" ht="15.75" customHeight="1" x14ac:dyDescent="0.25">
      <c r="A561" s="182"/>
      <c r="B561" s="182"/>
      <c r="C561" s="182"/>
      <c r="D561" s="182"/>
      <c r="E561" s="182"/>
      <c r="F561" s="182"/>
      <c r="G561" s="182"/>
      <c r="H561" s="182"/>
      <c r="I561" s="182"/>
      <c r="J561" s="182"/>
      <c r="K561" s="182"/>
      <c r="L561" s="182"/>
      <c r="M561" s="182"/>
      <c r="N561" s="182"/>
      <c r="O561" s="182"/>
      <c r="P561" s="182"/>
      <c r="Q561" s="182"/>
    </row>
    <row r="562" spans="1:17" ht="15.75" customHeight="1" x14ac:dyDescent="0.25">
      <c r="A562" s="182"/>
      <c r="B562" s="182"/>
      <c r="C562" s="182"/>
      <c r="D562" s="182"/>
      <c r="E562" s="182"/>
      <c r="F562" s="182"/>
      <c r="G562" s="182"/>
      <c r="H562" s="182"/>
      <c r="I562" s="182"/>
      <c r="J562" s="182"/>
      <c r="K562" s="182"/>
      <c r="L562" s="182"/>
      <c r="M562" s="182"/>
      <c r="N562" s="182"/>
      <c r="O562" s="182"/>
      <c r="P562" s="182"/>
      <c r="Q562" s="182"/>
    </row>
    <row r="563" spans="1:17" ht="15.75" customHeight="1" x14ac:dyDescent="0.25">
      <c r="A563" s="182"/>
      <c r="B563" s="182"/>
      <c r="C563" s="182"/>
      <c r="D563" s="182"/>
      <c r="E563" s="182"/>
      <c r="F563" s="182"/>
      <c r="G563" s="182"/>
      <c r="H563" s="182"/>
      <c r="I563" s="182"/>
      <c r="J563" s="182"/>
      <c r="K563" s="182"/>
      <c r="L563" s="182"/>
      <c r="M563" s="182"/>
      <c r="N563" s="182"/>
      <c r="O563" s="182"/>
      <c r="P563" s="182"/>
      <c r="Q563" s="182"/>
    </row>
    <row r="564" spans="1:17" ht="15.75" customHeight="1" x14ac:dyDescent="0.25">
      <c r="A564" s="182"/>
      <c r="B564" s="182"/>
      <c r="C564" s="182"/>
      <c r="D564" s="182"/>
      <c r="E564" s="182"/>
      <c r="F564" s="182"/>
      <c r="G564" s="182"/>
      <c r="H564" s="182"/>
      <c r="I564" s="182"/>
      <c r="J564" s="182"/>
      <c r="K564" s="182"/>
      <c r="L564" s="182"/>
      <c r="M564" s="182"/>
      <c r="N564" s="182"/>
      <c r="O564" s="182"/>
      <c r="P564" s="182"/>
      <c r="Q564" s="182"/>
    </row>
    <row r="565" spans="1:17" ht="15.75" customHeight="1" x14ac:dyDescent="0.25">
      <c r="A565" s="182"/>
      <c r="B565" s="182"/>
      <c r="C565" s="182"/>
      <c r="D565" s="182"/>
      <c r="E565" s="182"/>
      <c r="F565" s="182"/>
      <c r="G565" s="182"/>
      <c r="H565" s="182"/>
      <c r="I565" s="182"/>
      <c r="J565" s="182"/>
      <c r="K565" s="182"/>
      <c r="L565" s="182"/>
      <c r="M565" s="182"/>
      <c r="N565" s="182"/>
      <c r="O565" s="182"/>
      <c r="P565" s="182"/>
      <c r="Q565" s="182"/>
    </row>
    <row r="566" spans="1:17" ht="15.75" customHeight="1" x14ac:dyDescent="0.25">
      <c r="A566" s="182"/>
      <c r="B566" s="182"/>
      <c r="C566" s="182"/>
      <c r="D566" s="182"/>
      <c r="E566" s="182"/>
      <c r="F566" s="182"/>
      <c r="G566" s="182"/>
      <c r="H566" s="182"/>
      <c r="I566" s="182"/>
      <c r="J566" s="182"/>
      <c r="K566" s="182"/>
      <c r="L566" s="182"/>
      <c r="M566" s="182"/>
      <c r="N566" s="182"/>
      <c r="O566" s="182"/>
      <c r="P566" s="182"/>
      <c r="Q566" s="182"/>
    </row>
    <row r="567" spans="1:17" ht="15.75" customHeight="1" x14ac:dyDescent="0.25">
      <c r="A567" s="182"/>
      <c r="B567" s="182"/>
      <c r="C567" s="182"/>
      <c r="D567" s="182"/>
      <c r="E567" s="182"/>
      <c r="F567" s="182"/>
      <c r="G567" s="182"/>
      <c r="H567" s="182"/>
      <c r="I567" s="182"/>
      <c r="J567" s="182"/>
      <c r="K567" s="182"/>
      <c r="L567" s="182"/>
      <c r="M567" s="182"/>
      <c r="N567" s="182"/>
      <c r="O567" s="182"/>
      <c r="P567" s="182"/>
      <c r="Q567" s="182"/>
    </row>
    <row r="568" spans="1:17" ht="15.75" customHeight="1" x14ac:dyDescent="0.25">
      <c r="A568" s="182"/>
      <c r="B568" s="182"/>
      <c r="C568" s="182"/>
      <c r="D568" s="182"/>
      <c r="E568" s="182"/>
      <c r="F568" s="182"/>
      <c r="G568" s="182"/>
      <c r="H568" s="182"/>
      <c r="I568" s="182"/>
      <c r="J568" s="182"/>
      <c r="K568" s="182"/>
      <c r="L568" s="182"/>
      <c r="M568" s="182"/>
      <c r="N568" s="182"/>
      <c r="O568" s="182"/>
      <c r="P568" s="182"/>
      <c r="Q568" s="182"/>
    </row>
    <row r="569" spans="1:17" ht="15.75" customHeight="1" x14ac:dyDescent="0.25">
      <c r="A569" s="182"/>
      <c r="B569" s="182"/>
      <c r="C569" s="182"/>
      <c r="D569" s="182"/>
      <c r="E569" s="182"/>
      <c r="F569" s="182"/>
      <c r="G569" s="182"/>
      <c r="H569" s="182"/>
      <c r="I569" s="182"/>
      <c r="J569" s="182"/>
      <c r="K569" s="182"/>
      <c r="L569" s="182"/>
      <c r="M569" s="182"/>
      <c r="N569" s="182"/>
      <c r="O569" s="182"/>
      <c r="P569" s="182"/>
      <c r="Q569" s="182"/>
    </row>
    <row r="570" spans="1:17" ht="15.75" customHeight="1" x14ac:dyDescent="0.25">
      <c r="A570" s="182"/>
      <c r="B570" s="182"/>
      <c r="C570" s="182"/>
      <c r="D570" s="182"/>
      <c r="E570" s="182"/>
      <c r="F570" s="182"/>
      <c r="G570" s="182"/>
      <c r="H570" s="182"/>
      <c r="I570" s="182"/>
      <c r="J570" s="182"/>
      <c r="K570" s="182"/>
      <c r="L570" s="182"/>
      <c r="M570" s="182"/>
      <c r="N570" s="182"/>
      <c r="O570" s="182"/>
      <c r="P570" s="182"/>
      <c r="Q570" s="182"/>
    </row>
    <row r="571" spans="1:17" ht="15.75" customHeight="1" x14ac:dyDescent="0.25">
      <c r="A571" s="182"/>
      <c r="B571" s="182"/>
      <c r="C571" s="182"/>
      <c r="D571" s="182"/>
      <c r="E571" s="182"/>
      <c r="F571" s="182"/>
      <c r="G571" s="182"/>
      <c r="H571" s="182"/>
      <c r="I571" s="182"/>
      <c r="J571" s="182"/>
      <c r="K571" s="182"/>
      <c r="L571" s="182"/>
      <c r="M571" s="182"/>
      <c r="N571" s="182"/>
      <c r="O571" s="182"/>
      <c r="P571" s="182"/>
      <c r="Q571" s="182"/>
    </row>
    <row r="572" spans="1:17" ht="15.75" customHeight="1" x14ac:dyDescent="0.25">
      <c r="A572" s="182"/>
      <c r="B572" s="182"/>
      <c r="C572" s="182"/>
      <c r="D572" s="182"/>
      <c r="E572" s="182"/>
      <c r="F572" s="182"/>
      <c r="G572" s="182"/>
      <c r="H572" s="182"/>
      <c r="I572" s="182"/>
      <c r="J572" s="182"/>
      <c r="K572" s="182"/>
      <c r="L572" s="182"/>
      <c r="M572" s="182"/>
      <c r="N572" s="182"/>
      <c r="O572" s="182"/>
      <c r="P572" s="182"/>
      <c r="Q572" s="182"/>
    </row>
    <row r="573" spans="1:17" ht="15.75" customHeight="1" x14ac:dyDescent="0.25">
      <c r="A573" s="182"/>
      <c r="B573" s="182"/>
      <c r="C573" s="182"/>
      <c r="D573" s="182"/>
      <c r="E573" s="182"/>
      <c r="F573" s="182"/>
      <c r="G573" s="182"/>
      <c r="H573" s="182"/>
      <c r="I573" s="182"/>
      <c r="J573" s="182"/>
      <c r="K573" s="182"/>
      <c r="L573" s="182"/>
      <c r="M573" s="182"/>
      <c r="N573" s="182"/>
      <c r="O573" s="182"/>
      <c r="P573" s="182"/>
      <c r="Q573" s="182"/>
    </row>
    <row r="574" spans="1:17" ht="15.75" customHeight="1" x14ac:dyDescent="0.25">
      <c r="A574" s="182"/>
      <c r="B574" s="182"/>
      <c r="C574" s="182"/>
      <c r="D574" s="182"/>
      <c r="E574" s="182"/>
      <c r="F574" s="182"/>
      <c r="G574" s="182"/>
      <c r="H574" s="182"/>
      <c r="I574" s="182"/>
      <c r="J574" s="182"/>
      <c r="K574" s="182"/>
      <c r="L574" s="182"/>
      <c r="M574" s="182"/>
      <c r="N574" s="182"/>
      <c r="O574" s="182"/>
      <c r="P574" s="182"/>
      <c r="Q574" s="182"/>
    </row>
    <row r="575" spans="1:17" ht="15.75" customHeight="1" x14ac:dyDescent="0.25">
      <c r="A575" s="182"/>
      <c r="B575" s="182"/>
      <c r="C575" s="182"/>
      <c r="D575" s="182"/>
      <c r="E575" s="182"/>
      <c r="F575" s="182"/>
      <c r="G575" s="182"/>
      <c r="H575" s="182"/>
      <c r="I575" s="182"/>
      <c r="J575" s="182"/>
      <c r="K575" s="182"/>
      <c r="L575" s="182"/>
      <c r="M575" s="182"/>
      <c r="N575" s="182"/>
      <c r="O575" s="182"/>
      <c r="P575" s="182"/>
      <c r="Q575" s="182"/>
    </row>
    <row r="576" spans="1:17" ht="15.75" customHeight="1" x14ac:dyDescent="0.25">
      <c r="A576" s="182"/>
      <c r="B576" s="182"/>
      <c r="C576" s="182"/>
      <c r="D576" s="182"/>
      <c r="E576" s="182"/>
      <c r="F576" s="182"/>
      <c r="G576" s="182"/>
      <c r="H576" s="182"/>
      <c r="I576" s="182"/>
      <c r="J576" s="182"/>
      <c r="K576" s="182"/>
      <c r="L576" s="182"/>
      <c r="M576" s="182"/>
      <c r="N576" s="182"/>
      <c r="O576" s="182"/>
      <c r="P576" s="182"/>
      <c r="Q576" s="182"/>
    </row>
    <row r="577" spans="1:17" ht="15.75" customHeight="1" x14ac:dyDescent="0.25">
      <c r="A577" s="182"/>
      <c r="B577" s="182"/>
      <c r="C577" s="182"/>
      <c r="D577" s="182"/>
      <c r="E577" s="182"/>
      <c r="F577" s="182"/>
      <c r="G577" s="182"/>
      <c r="H577" s="182"/>
      <c r="I577" s="182"/>
      <c r="J577" s="182"/>
      <c r="K577" s="182"/>
      <c r="L577" s="182"/>
      <c r="M577" s="182"/>
      <c r="N577" s="182"/>
      <c r="O577" s="182"/>
      <c r="P577" s="182"/>
      <c r="Q577" s="182"/>
    </row>
    <row r="578" spans="1:17" ht="15.75" customHeight="1" x14ac:dyDescent="0.25">
      <c r="A578" s="182"/>
      <c r="B578" s="182"/>
      <c r="C578" s="182"/>
      <c r="D578" s="182"/>
      <c r="E578" s="182"/>
      <c r="F578" s="182"/>
      <c r="G578" s="182"/>
      <c r="H578" s="182"/>
      <c r="I578" s="182"/>
      <c r="J578" s="182"/>
      <c r="K578" s="182"/>
      <c r="L578" s="182"/>
      <c r="M578" s="182"/>
      <c r="N578" s="182"/>
      <c r="O578" s="182"/>
      <c r="P578" s="182"/>
      <c r="Q578" s="182"/>
    </row>
    <row r="579" spans="1:17" ht="15.75" customHeight="1" x14ac:dyDescent="0.25">
      <c r="A579" s="182"/>
      <c r="B579" s="182"/>
      <c r="C579" s="182"/>
      <c r="D579" s="182"/>
      <c r="E579" s="182"/>
      <c r="F579" s="182"/>
      <c r="G579" s="182"/>
      <c r="H579" s="182"/>
      <c r="I579" s="182"/>
      <c r="J579" s="182"/>
      <c r="K579" s="182"/>
      <c r="L579" s="182"/>
      <c r="M579" s="182"/>
      <c r="N579" s="182"/>
      <c r="O579" s="182"/>
      <c r="P579" s="182"/>
      <c r="Q579" s="182"/>
    </row>
    <row r="580" spans="1:17" ht="15.75" customHeight="1" x14ac:dyDescent="0.25">
      <c r="A580" s="182"/>
      <c r="B580" s="182"/>
      <c r="C580" s="182"/>
      <c r="D580" s="182"/>
      <c r="E580" s="182"/>
      <c r="F580" s="182"/>
      <c r="G580" s="182"/>
      <c r="H580" s="182"/>
      <c r="I580" s="182"/>
      <c r="J580" s="182"/>
      <c r="K580" s="182"/>
      <c r="L580" s="182"/>
      <c r="M580" s="182"/>
      <c r="N580" s="182"/>
      <c r="O580" s="182"/>
      <c r="P580" s="182"/>
      <c r="Q580" s="182"/>
    </row>
    <row r="581" spans="1:17" ht="15.75" customHeight="1" x14ac:dyDescent="0.25">
      <c r="A581" s="182"/>
      <c r="B581" s="182"/>
      <c r="C581" s="182"/>
      <c r="D581" s="182"/>
      <c r="E581" s="182"/>
      <c r="F581" s="182"/>
      <c r="G581" s="182"/>
      <c r="H581" s="182"/>
      <c r="I581" s="182"/>
      <c r="J581" s="182"/>
      <c r="K581" s="182"/>
      <c r="L581" s="182"/>
      <c r="M581" s="182"/>
      <c r="N581" s="182"/>
      <c r="O581" s="182"/>
      <c r="P581" s="182"/>
      <c r="Q581" s="182"/>
    </row>
    <row r="582" spans="1:17" ht="15.75" customHeight="1" x14ac:dyDescent="0.25">
      <c r="A582" s="182"/>
      <c r="B582" s="182"/>
      <c r="C582" s="182"/>
      <c r="D582" s="182"/>
      <c r="E582" s="182"/>
      <c r="F582" s="182"/>
      <c r="G582" s="182"/>
      <c r="H582" s="182"/>
      <c r="I582" s="182"/>
      <c r="J582" s="182"/>
      <c r="K582" s="182"/>
      <c r="L582" s="182"/>
      <c r="M582" s="182"/>
      <c r="N582" s="182"/>
      <c r="O582" s="182"/>
      <c r="P582" s="182"/>
      <c r="Q582" s="182"/>
    </row>
    <row r="583" spans="1:17" ht="15.75" customHeight="1" x14ac:dyDescent="0.25">
      <c r="A583" s="182"/>
      <c r="B583" s="182"/>
      <c r="C583" s="182"/>
      <c r="D583" s="182"/>
      <c r="E583" s="182"/>
      <c r="F583" s="182"/>
      <c r="G583" s="182"/>
      <c r="H583" s="182"/>
      <c r="I583" s="182"/>
      <c r="J583" s="182"/>
      <c r="K583" s="182"/>
      <c r="L583" s="182"/>
      <c r="M583" s="182"/>
      <c r="N583" s="182"/>
      <c r="O583" s="182"/>
      <c r="P583" s="182"/>
      <c r="Q583" s="182"/>
    </row>
    <row r="584" spans="1:17" ht="15.75" customHeight="1" x14ac:dyDescent="0.25">
      <c r="A584" s="182"/>
      <c r="B584" s="182"/>
      <c r="C584" s="182"/>
      <c r="D584" s="182"/>
      <c r="E584" s="182"/>
      <c r="F584" s="182"/>
      <c r="G584" s="182"/>
      <c r="H584" s="182"/>
      <c r="I584" s="182"/>
      <c r="J584" s="182"/>
      <c r="K584" s="182"/>
      <c r="L584" s="182"/>
      <c r="M584" s="182"/>
      <c r="N584" s="182"/>
      <c r="O584" s="182"/>
      <c r="P584" s="182"/>
      <c r="Q584" s="182"/>
    </row>
    <row r="585" spans="1:17" ht="15.75" customHeight="1" x14ac:dyDescent="0.25">
      <c r="A585" s="182"/>
      <c r="B585" s="182"/>
      <c r="C585" s="182"/>
      <c r="D585" s="182"/>
      <c r="E585" s="182"/>
      <c r="F585" s="182"/>
      <c r="G585" s="182"/>
      <c r="H585" s="182"/>
      <c r="I585" s="182"/>
      <c r="J585" s="182"/>
      <c r="K585" s="182"/>
      <c r="L585" s="182"/>
      <c r="M585" s="182"/>
      <c r="N585" s="182"/>
      <c r="O585" s="182"/>
      <c r="P585" s="182"/>
      <c r="Q585" s="182"/>
    </row>
    <row r="586" spans="1:17" ht="15.75" customHeight="1" x14ac:dyDescent="0.25">
      <c r="A586" s="182"/>
      <c r="B586" s="182"/>
      <c r="C586" s="182"/>
      <c r="D586" s="182"/>
      <c r="E586" s="182"/>
      <c r="F586" s="182"/>
      <c r="G586" s="182"/>
      <c r="H586" s="182"/>
      <c r="I586" s="182"/>
      <c r="J586" s="182"/>
      <c r="K586" s="182"/>
      <c r="L586" s="182"/>
      <c r="M586" s="182"/>
      <c r="N586" s="182"/>
      <c r="O586" s="182"/>
      <c r="P586" s="182"/>
      <c r="Q586" s="182"/>
    </row>
    <row r="587" spans="1:17" ht="15.75" customHeight="1" x14ac:dyDescent="0.25">
      <c r="A587" s="182"/>
      <c r="B587" s="182"/>
      <c r="C587" s="182"/>
      <c r="D587" s="182"/>
      <c r="E587" s="182"/>
      <c r="F587" s="182"/>
      <c r="G587" s="182"/>
      <c r="H587" s="182"/>
      <c r="I587" s="182"/>
      <c r="J587" s="182"/>
      <c r="K587" s="182"/>
      <c r="L587" s="182"/>
      <c r="M587" s="182"/>
      <c r="N587" s="182"/>
      <c r="O587" s="182"/>
      <c r="P587" s="182"/>
      <c r="Q587" s="182"/>
    </row>
    <row r="588" spans="1:17" ht="15.75" customHeight="1" x14ac:dyDescent="0.25">
      <c r="A588" s="182"/>
      <c r="B588" s="182"/>
      <c r="C588" s="182"/>
      <c r="D588" s="182"/>
      <c r="E588" s="182"/>
      <c r="F588" s="182"/>
      <c r="G588" s="182"/>
      <c r="H588" s="182"/>
      <c r="I588" s="182"/>
      <c r="J588" s="182"/>
      <c r="K588" s="182"/>
      <c r="L588" s="182"/>
      <c r="M588" s="182"/>
      <c r="N588" s="182"/>
      <c r="O588" s="182"/>
      <c r="P588" s="182"/>
      <c r="Q588" s="182"/>
    </row>
    <row r="589" spans="1:17" ht="15.75" customHeight="1" x14ac:dyDescent="0.25">
      <c r="A589" s="182"/>
      <c r="B589" s="182"/>
      <c r="C589" s="182"/>
      <c r="D589" s="182"/>
      <c r="E589" s="182"/>
      <c r="F589" s="182"/>
      <c r="G589" s="182"/>
      <c r="H589" s="182"/>
      <c r="I589" s="182"/>
      <c r="J589" s="182"/>
      <c r="K589" s="182"/>
      <c r="L589" s="182"/>
      <c r="M589" s="182"/>
      <c r="N589" s="182"/>
      <c r="O589" s="182"/>
      <c r="P589" s="182"/>
      <c r="Q589" s="182"/>
    </row>
    <row r="590" spans="1:17" ht="15.75" customHeight="1" x14ac:dyDescent="0.25">
      <c r="A590" s="182"/>
      <c r="B590" s="182"/>
      <c r="C590" s="182"/>
      <c r="D590" s="182"/>
      <c r="E590" s="182"/>
      <c r="F590" s="182"/>
      <c r="G590" s="182"/>
      <c r="H590" s="182"/>
      <c r="I590" s="182"/>
      <c r="J590" s="182"/>
      <c r="K590" s="182"/>
      <c r="L590" s="182"/>
      <c r="M590" s="182"/>
      <c r="N590" s="182"/>
      <c r="O590" s="182"/>
      <c r="P590" s="182"/>
      <c r="Q590" s="182"/>
    </row>
    <row r="591" spans="1:17" ht="15.75" customHeight="1" x14ac:dyDescent="0.25">
      <c r="A591" s="182"/>
      <c r="B591" s="182"/>
      <c r="C591" s="182"/>
      <c r="D591" s="182"/>
      <c r="E591" s="182"/>
      <c r="F591" s="182"/>
      <c r="G591" s="182"/>
      <c r="H591" s="182"/>
      <c r="I591" s="182"/>
      <c r="J591" s="182"/>
      <c r="K591" s="182"/>
      <c r="L591" s="182"/>
      <c r="M591" s="182"/>
      <c r="N591" s="182"/>
      <c r="O591" s="182"/>
      <c r="P591" s="182"/>
      <c r="Q591" s="182"/>
    </row>
    <row r="592" spans="1:17" ht="15.75" customHeight="1" x14ac:dyDescent="0.25">
      <c r="A592" s="182"/>
      <c r="B592" s="182"/>
      <c r="C592" s="182"/>
      <c r="D592" s="182"/>
      <c r="E592" s="182"/>
      <c r="F592" s="182"/>
      <c r="G592" s="182"/>
      <c r="H592" s="182"/>
      <c r="I592" s="182"/>
      <c r="J592" s="182"/>
      <c r="K592" s="182"/>
      <c r="L592" s="182"/>
      <c r="M592" s="182"/>
      <c r="N592" s="182"/>
      <c r="O592" s="182"/>
      <c r="P592" s="182"/>
      <c r="Q592" s="182"/>
    </row>
    <row r="593" spans="1:17" ht="15.75" customHeight="1" x14ac:dyDescent="0.25">
      <c r="A593" s="182"/>
      <c r="B593" s="182"/>
      <c r="C593" s="182"/>
      <c r="D593" s="182"/>
      <c r="E593" s="182"/>
      <c r="F593" s="182"/>
      <c r="G593" s="182"/>
      <c r="H593" s="182"/>
      <c r="I593" s="182"/>
      <c r="J593" s="182"/>
      <c r="K593" s="182"/>
      <c r="L593" s="182"/>
      <c r="M593" s="182"/>
      <c r="N593" s="182"/>
      <c r="O593" s="182"/>
      <c r="P593" s="182"/>
      <c r="Q593" s="182"/>
    </row>
    <row r="594" spans="1:17" ht="15.75" customHeight="1" x14ac:dyDescent="0.25">
      <c r="A594" s="182"/>
      <c r="B594" s="182"/>
      <c r="C594" s="182"/>
      <c r="D594" s="182"/>
      <c r="E594" s="182"/>
      <c r="F594" s="182"/>
      <c r="G594" s="182"/>
      <c r="H594" s="182"/>
      <c r="I594" s="182"/>
      <c r="J594" s="182"/>
      <c r="K594" s="182"/>
      <c r="L594" s="182"/>
      <c r="M594" s="182"/>
      <c r="N594" s="182"/>
      <c r="O594" s="182"/>
      <c r="P594" s="182"/>
      <c r="Q594" s="182"/>
    </row>
    <row r="595" spans="1:17" ht="15.75" customHeight="1" x14ac:dyDescent="0.25">
      <c r="A595" s="182"/>
      <c r="B595" s="182"/>
      <c r="C595" s="182"/>
      <c r="D595" s="182"/>
      <c r="E595" s="182"/>
      <c r="F595" s="182"/>
      <c r="G595" s="182"/>
      <c r="H595" s="182"/>
      <c r="I595" s="182"/>
      <c r="J595" s="182"/>
      <c r="K595" s="182"/>
      <c r="L595" s="182"/>
      <c r="M595" s="182"/>
      <c r="N595" s="182"/>
      <c r="O595" s="182"/>
      <c r="P595" s="182"/>
      <c r="Q595" s="182"/>
    </row>
    <row r="596" spans="1:17" ht="15.75" customHeight="1" x14ac:dyDescent="0.25">
      <c r="A596" s="182"/>
      <c r="B596" s="182"/>
      <c r="C596" s="182"/>
      <c r="D596" s="182"/>
      <c r="E596" s="182"/>
      <c r="F596" s="182"/>
      <c r="G596" s="182"/>
      <c r="H596" s="182"/>
      <c r="I596" s="182"/>
      <c r="J596" s="182"/>
      <c r="K596" s="182"/>
      <c r="L596" s="182"/>
      <c r="M596" s="182"/>
      <c r="N596" s="182"/>
      <c r="O596" s="182"/>
      <c r="P596" s="182"/>
      <c r="Q596" s="182"/>
    </row>
    <row r="597" spans="1:17" ht="15.75" customHeight="1" x14ac:dyDescent="0.25">
      <c r="A597" s="182"/>
      <c r="B597" s="182"/>
      <c r="C597" s="182"/>
      <c r="D597" s="182"/>
      <c r="E597" s="182"/>
      <c r="F597" s="182"/>
      <c r="G597" s="182"/>
      <c r="H597" s="182"/>
      <c r="I597" s="182"/>
      <c r="J597" s="182"/>
      <c r="K597" s="182"/>
      <c r="L597" s="182"/>
      <c r="M597" s="182"/>
      <c r="N597" s="182"/>
      <c r="O597" s="182"/>
      <c r="P597" s="182"/>
      <c r="Q597" s="182"/>
    </row>
    <row r="598" spans="1:17" ht="15.75" customHeight="1" x14ac:dyDescent="0.25">
      <c r="A598" s="182"/>
      <c r="B598" s="182"/>
      <c r="C598" s="182"/>
      <c r="D598" s="182"/>
      <c r="E598" s="182"/>
      <c r="F598" s="182"/>
      <c r="G598" s="182"/>
      <c r="H598" s="182"/>
      <c r="I598" s="182"/>
      <c r="J598" s="182"/>
      <c r="K598" s="182"/>
      <c r="L598" s="182"/>
      <c r="M598" s="182"/>
      <c r="N598" s="182"/>
      <c r="O598" s="182"/>
      <c r="P598" s="182"/>
      <c r="Q598" s="182"/>
    </row>
    <row r="599" spans="1:17" ht="15.75" customHeight="1" x14ac:dyDescent="0.25">
      <c r="A599" s="182"/>
      <c r="B599" s="182"/>
      <c r="C599" s="182"/>
      <c r="D599" s="182"/>
      <c r="E599" s="182"/>
      <c r="F599" s="182"/>
      <c r="G599" s="182"/>
      <c r="H599" s="182"/>
      <c r="I599" s="182"/>
      <c r="J599" s="182"/>
      <c r="K599" s="182"/>
      <c r="L599" s="182"/>
      <c r="M599" s="182"/>
      <c r="N599" s="182"/>
      <c r="O599" s="182"/>
      <c r="P599" s="182"/>
      <c r="Q599" s="182"/>
    </row>
    <row r="600" spans="1:17" ht="15.75" customHeight="1" x14ac:dyDescent="0.25">
      <c r="A600" s="182"/>
      <c r="B600" s="182"/>
      <c r="C600" s="182"/>
      <c r="D600" s="182"/>
      <c r="E600" s="182"/>
      <c r="F600" s="182"/>
      <c r="G600" s="182"/>
      <c r="H600" s="182"/>
      <c r="I600" s="182"/>
      <c r="J600" s="182"/>
      <c r="K600" s="182"/>
      <c r="L600" s="182"/>
      <c r="M600" s="182"/>
      <c r="N600" s="182"/>
      <c r="O600" s="182"/>
      <c r="P600" s="182"/>
      <c r="Q600" s="182"/>
    </row>
    <row r="601" spans="1:17" ht="15.75" customHeight="1" x14ac:dyDescent="0.25">
      <c r="A601" s="182"/>
      <c r="B601" s="182"/>
      <c r="C601" s="182"/>
      <c r="D601" s="182"/>
      <c r="E601" s="182"/>
      <c r="F601" s="182"/>
      <c r="G601" s="182"/>
      <c r="H601" s="182"/>
      <c r="I601" s="182"/>
      <c r="J601" s="182"/>
      <c r="K601" s="182"/>
      <c r="L601" s="182"/>
      <c r="M601" s="182"/>
      <c r="N601" s="182"/>
      <c r="O601" s="182"/>
      <c r="P601" s="182"/>
      <c r="Q601" s="182"/>
    </row>
    <row r="602" spans="1:17" ht="15.75" customHeight="1" x14ac:dyDescent="0.25">
      <c r="A602" s="182"/>
      <c r="B602" s="182"/>
      <c r="C602" s="182"/>
      <c r="D602" s="182"/>
      <c r="E602" s="182"/>
      <c r="F602" s="182"/>
      <c r="G602" s="182"/>
      <c r="H602" s="182"/>
      <c r="I602" s="182"/>
      <c r="J602" s="182"/>
      <c r="K602" s="182"/>
      <c r="L602" s="182"/>
      <c r="M602" s="182"/>
      <c r="N602" s="182"/>
      <c r="O602" s="182"/>
      <c r="P602" s="182"/>
      <c r="Q602" s="182"/>
    </row>
    <row r="603" spans="1:17" ht="15.75" customHeight="1" x14ac:dyDescent="0.25">
      <c r="A603" s="182"/>
      <c r="B603" s="182"/>
      <c r="C603" s="182"/>
      <c r="D603" s="182"/>
      <c r="E603" s="182"/>
      <c r="F603" s="182"/>
      <c r="G603" s="182"/>
      <c r="H603" s="182"/>
      <c r="I603" s="182"/>
      <c r="J603" s="182"/>
      <c r="K603" s="182"/>
      <c r="L603" s="182"/>
      <c r="M603" s="182"/>
      <c r="N603" s="182"/>
      <c r="O603" s="182"/>
      <c r="P603" s="182"/>
      <c r="Q603" s="182"/>
    </row>
    <row r="604" spans="1:17" ht="15.75" customHeight="1" x14ac:dyDescent="0.25">
      <c r="A604" s="182"/>
      <c r="B604" s="182"/>
      <c r="C604" s="182"/>
      <c r="D604" s="182"/>
      <c r="E604" s="182"/>
      <c r="F604" s="182"/>
      <c r="G604" s="182"/>
      <c r="H604" s="182"/>
      <c r="I604" s="182"/>
      <c r="J604" s="182"/>
      <c r="K604" s="182"/>
      <c r="L604" s="182"/>
      <c r="M604" s="182"/>
      <c r="N604" s="182"/>
      <c r="O604" s="182"/>
      <c r="P604" s="182"/>
      <c r="Q604" s="182"/>
    </row>
    <row r="605" spans="1:17" ht="15.75" customHeight="1" x14ac:dyDescent="0.25">
      <c r="A605" s="182"/>
      <c r="B605" s="182"/>
      <c r="C605" s="182"/>
      <c r="D605" s="182"/>
      <c r="E605" s="182"/>
      <c r="F605" s="182"/>
      <c r="G605" s="182"/>
      <c r="H605" s="182"/>
      <c r="I605" s="182"/>
      <c r="J605" s="182"/>
      <c r="K605" s="182"/>
      <c r="L605" s="182"/>
      <c r="M605" s="182"/>
      <c r="N605" s="182"/>
      <c r="O605" s="182"/>
      <c r="P605" s="182"/>
      <c r="Q605" s="182"/>
    </row>
    <row r="606" spans="1:17" ht="15.75" customHeight="1" x14ac:dyDescent="0.25">
      <c r="A606" s="182"/>
      <c r="B606" s="182"/>
      <c r="C606" s="182"/>
      <c r="D606" s="182"/>
      <c r="E606" s="182"/>
      <c r="F606" s="182"/>
      <c r="G606" s="182"/>
      <c r="H606" s="182"/>
      <c r="I606" s="182"/>
      <c r="J606" s="182"/>
      <c r="K606" s="182"/>
      <c r="L606" s="182"/>
      <c r="M606" s="182"/>
      <c r="N606" s="182"/>
      <c r="O606" s="182"/>
      <c r="P606" s="182"/>
      <c r="Q606" s="182"/>
    </row>
    <row r="607" spans="1:17" ht="15.75" customHeight="1" x14ac:dyDescent="0.25">
      <c r="A607" s="182"/>
      <c r="B607" s="182"/>
      <c r="C607" s="182"/>
      <c r="D607" s="182"/>
      <c r="E607" s="182"/>
      <c r="F607" s="182"/>
      <c r="G607" s="182"/>
      <c r="H607" s="182"/>
      <c r="I607" s="182"/>
      <c r="J607" s="182"/>
      <c r="K607" s="182"/>
      <c r="L607" s="182"/>
      <c r="M607" s="182"/>
      <c r="N607" s="182"/>
      <c r="O607" s="182"/>
      <c r="P607" s="182"/>
      <c r="Q607" s="182"/>
    </row>
    <row r="608" spans="1:17" ht="15.75" customHeight="1" x14ac:dyDescent="0.25">
      <c r="A608" s="182"/>
      <c r="B608" s="182"/>
      <c r="C608" s="182"/>
      <c r="D608" s="182"/>
      <c r="E608" s="182"/>
      <c r="F608" s="182"/>
      <c r="G608" s="182"/>
      <c r="H608" s="182"/>
      <c r="I608" s="182"/>
      <c r="J608" s="182"/>
      <c r="K608" s="182"/>
      <c r="L608" s="182"/>
      <c r="M608" s="182"/>
      <c r="N608" s="182"/>
      <c r="O608" s="182"/>
      <c r="P608" s="182"/>
      <c r="Q608" s="182"/>
    </row>
    <row r="609" spans="1:17" ht="15.75" customHeight="1" x14ac:dyDescent="0.25">
      <c r="A609" s="182"/>
      <c r="B609" s="182"/>
      <c r="C609" s="182"/>
      <c r="D609" s="182"/>
      <c r="E609" s="182"/>
      <c r="F609" s="182"/>
      <c r="G609" s="182"/>
      <c r="H609" s="182"/>
      <c r="I609" s="182"/>
      <c r="J609" s="182"/>
      <c r="K609" s="182"/>
      <c r="L609" s="182"/>
      <c r="M609" s="182"/>
      <c r="N609" s="182"/>
      <c r="O609" s="182"/>
      <c r="P609" s="182"/>
      <c r="Q609" s="182"/>
    </row>
    <row r="610" spans="1:17" ht="15.75" customHeight="1" x14ac:dyDescent="0.25">
      <c r="A610" s="182"/>
      <c r="B610" s="182"/>
      <c r="C610" s="182"/>
      <c r="D610" s="182"/>
      <c r="E610" s="182"/>
      <c r="F610" s="182"/>
      <c r="G610" s="182"/>
      <c r="H610" s="182"/>
      <c r="I610" s="182"/>
      <c r="J610" s="182"/>
      <c r="K610" s="182"/>
      <c r="L610" s="182"/>
      <c r="M610" s="182"/>
      <c r="N610" s="182"/>
      <c r="O610" s="182"/>
      <c r="P610" s="182"/>
      <c r="Q610" s="182"/>
    </row>
    <row r="611" spans="1:17" ht="15.75" customHeight="1" x14ac:dyDescent="0.25">
      <c r="A611" s="182"/>
      <c r="B611" s="182"/>
      <c r="C611" s="182"/>
      <c r="D611" s="182"/>
      <c r="E611" s="182"/>
      <c r="F611" s="182"/>
      <c r="G611" s="182"/>
      <c r="H611" s="182"/>
      <c r="I611" s="182"/>
      <c r="J611" s="182"/>
      <c r="K611" s="182"/>
      <c r="L611" s="182"/>
      <c r="M611" s="182"/>
      <c r="N611" s="182"/>
      <c r="O611" s="182"/>
      <c r="P611" s="182"/>
      <c r="Q611" s="182"/>
    </row>
    <row r="612" spans="1:17" ht="15.75" customHeight="1" x14ac:dyDescent="0.25">
      <c r="A612" s="182"/>
      <c r="B612" s="182"/>
      <c r="C612" s="182"/>
      <c r="D612" s="182"/>
      <c r="E612" s="182"/>
      <c r="F612" s="182"/>
      <c r="G612" s="182"/>
      <c r="H612" s="182"/>
      <c r="I612" s="182"/>
      <c r="J612" s="182"/>
      <c r="K612" s="182"/>
      <c r="L612" s="182"/>
      <c r="M612" s="182"/>
      <c r="N612" s="182"/>
      <c r="O612" s="182"/>
      <c r="P612" s="182"/>
      <c r="Q612" s="182"/>
    </row>
    <row r="613" spans="1:17" ht="15.75" customHeight="1" x14ac:dyDescent="0.25">
      <c r="A613" s="182"/>
      <c r="B613" s="182"/>
      <c r="C613" s="182"/>
      <c r="D613" s="182"/>
      <c r="E613" s="182"/>
      <c r="F613" s="182"/>
      <c r="G613" s="182"/>
      <c r="H613" s="182"/>
      <c r="I613" s="182"/>
      <c r="J613" s="182"/>
      <c r="K613" s="182"/>
      <c r="L613" s="182"/>
      <c r="M613" s="182"/>
      <c r="N613" s="182"/>
      <c r="O613" s="182"/>
      <c r="P613" s="182"/>
      <c r="Q613" s="182"/>
    </row>
    <row r="614" spans="1:17" ht="15.75" customHeight="1" x14ac:dyDescent="0.25">
      <c r="A614" s="182"/>
      <c r="B614" s="182"/>
      <c r="C614" s="182"/>
      <c r="D614" s="182"/>
      <c r="E614" s="182"/>
      <c r="F614" s="182"/>
      <c r="G614" s="182"/>
      <c r="H614" s="182"/>
      <c r="I614" s="182"/>
      <c r="J614" s="182"/>
      <c r="K614" s="182"/>
      <c r="L614" s="182"/>
      <c r="M614" s="182"/>
      <c r="N614" s="182"/>
      <c r="O614" s="182"/>
      <c r="P614" s="182"/>
      <c r="Q614" s="182"/>
    </row>
    <row r="615" spans="1:17" ht="15.75" customHeight="1" x14ac:dyDescent="0.25">
      <c r="A615" s="182"/>
      <c r="B615" s="182"/>
      <c r="C615" s="182"/>
      <c r="D615" s="182"/>
      <c r="E615" s="182"/>
      <c r="F615" s="182"/>
      <c r="G615" s="182"/>
      <c r="H615" s="182"/>
      <c r="I615" s="182"/>
      <c r="J615" s="182"/>
      <c r="K615" s="182"/>
      <c r="L615" s="182"/>
      <c r="M615" s="182"/>
      <c r="N615" s="182"/>
      <c r="O615" s="182"/>
      <c r="P615" s="182"/>
      <c r="Q615" s="182"/>
    </row>
    <row r="616" spans="1:17" ht="15.75" customHeight="1" x14ac:dyDescent="0.25">
      <c r="A616" s="182"/>
      <c r="B616" s="182"/>
      <c r="C616" s="182"/>
      <c r="D616" s="182"/>
      <c r="E616" s="182"/>
      <c r="F616" s="182"/>
      <c r="G616" s="182"/>
      <c r="H616" s="182"/>
      <c r="I616" s="182"/>
      <c r="J616" s="182"/>
      <c r="K616" s="182"/>
      <c r="L616" s="182"/>
      <c r="M616" s="182"/>
      <c r="N616" s="182"/>
      <c r="O616" s="182"/>
      <c r="P616" s="182"/>
      <c r="Q616" s="182"/>
    </row>
    <row r="617" spans="1:17" ht="15.75" customHeight="1" x14ac:dyDescent="0.25">
      <c r="A617" s="182"/>
      <c r="B617" s="182"/>
      <c r="C617" s="182"/>
      <c r="D617" s="182"/>
      <c r="E617" s="182"/>
      <c r="F617" s="182"/>
      <c r="G617" s="182"/>
      <c r="H617" s="182"/>
      <c r="I617" s="182"/>
      <c r="J617" s="182"/>
      <c r="K617" s="182"/>
      <c r="L617" s="182"/>
      <c r="M617" s="182"/>
      <c r="N617" s="182"/>
      <c r="O617" s="182"/>
      <c r="P617" s="182"/>
      <c r="Q617" s="182"/>
    </row>
    <row r="618" spans="1:17" ht="15.75" customHeight="1" x14ac:dyDescent="0.25">
      <c r="A618" s="182"/>
      <c r="B618" s="182"/>
      <c r="C618" s="182"/>
      <c r="D618" s="182"/>
      <c r="E618" s="182"/>
      <c r="F618" s="182"/>
      <c r="G618" s="182"/>
      <c r="H618" s="182"/>
      <c r="I618" s="182"/>
      <c r="J618" s="182"/>
      <c r="K618" s="182"/>
      <c r="L618" s="182"/>
      <c r="M618" s="182"/>
      <c r="N618" s="182"/>
      <c r="O618" s="182"/>
      <c r="P618" s="182"/>
      <c r="Q618" s="182"/>
    </row>
    <row r="619" spans="1:17" ht="15.75" customHeight="1" x14ac:dyDescent="0.25">
      <c r="A619" s="182"/>
      <c r="B619" s="182"/>
      <c r="C619" s="182"/>
      <c r="D619" s="182"/>
      <c r="E619" s="182"/>
      <c r="F619" s="182"/>
      <c r="G619" s="182"/>
      <c r="H619" s="182"/>
      <c r="I619" s="182"/>
      <c r="J619" s="182"/>
      <c r="K619" s="182"/>
      <c r="L619" s="182"/>
      <c r="M619" s="182"/>
      <c r="N619" s="182"/>
      <c r="O619" s="182"/>
      <c r="P619" s="182"/>
      <c r="Q619" s="182"/>
    </row>
    <row r="620" spans="1:17" ht="15.75" customHeight="1" x14ac:dyDescent="0.25">
      <c r="A620" s="182"/>
      <c r="B620" s="182"/>
      <c r="C620" s="182"/>
      <c r="D620" s="182"/>
      <c r="E620" s="182"/>
      <c r="F620" s="182"/>
      <c r="G620" s="182"/>
      <c r="H620" s="182"/>
      <c r="I620" s="182"/>
      <c r="J620" s="182"/>
      <c r="K620" s="182"/>
      <c r="L620" s="182"/>
      <c r="M620" s="182"/>
      <c r="N620" s="182"/>
      <c r="O620" s="182"/>
      <c r="P620" s="182"/>
      <c r="Q620" s="182"/>
    </row>
    <row r="621" spans="1:17" ht="15.75" customHeight="1" x14ac:dyDescent="0.25">
      <c r="A621" s="182"/>
      <c r="B621" s="182"/>
      <c r="C621" s="182"/>
      <c r="D621" s="182"/>
      <c r="E621" s="182"/>
      <c r="F621" s="182"/>
      <c r="G621" s="182"/>
      <c r="H621" s="182"/>
      <c r="I621" s="182"/>
      <c r="J621" s="182"/>
      <c r="K621" s="182"/>
      <c r="L621" s="182"/>
      <c r="M621" s="182"/>
      <c r="N621" s="182"/>
      <c r="O621" s="182"/>
      <c r="P621" s="182"/>
      <c r="Q621" s="182"/>
    </row>
    <row r="622" spans="1:17" ht="15.75" customHeight="1" x14ac:dyDescent="0.25">
      <c r="A622" s="182"/>
      <c r="B622" s="182"/>
      <c r="C622" s="182"/>
      <c r="D622" s="182"/>
      <c r="E622" s="182"/>
      <c r="F622" s="182"/>
      <c r="G622" s="182"/>
      <c r="H622" s="182"/>
      <c r="I622" s="182"/>
      <c r="J622" s="182"/>
      <c r="K622" s="182"/>
      <c r="L622" s="182"/>
      <c r="M622" s="182"/>
      <c r="N622" s="182"/>
      <c r="O622" s="182"/>
      <c r="P622" s="182"/>
      <c r="Q622" s="182"/>
    </row>
    <row r="623" spans="1:17" ht="15.75" customHeight="1" x14ac:dyDescent="0.25">
      <c r="A623" s="182"/>
      <c r="B623" s="182"/>
      <c r="C623" s="182"/>
      <c r="D623" s="182"/>
      <c r="E623" s="182"/>
      <c r="F623" s="182"/>
      <c r="G623" s="182"/>
      <c r="H623" s="182"/>
      <c r="I623" s="182"/>
      <c r="J623" s="182"/>
      <c r="K623" s="182"/>
      <c r="L623" s="182"/>
      <c r="M623" s="182"/>
      <c r="N623" s="182"/>
      <c r="O623" s="182"/>
      <c r="P623" s="182"/>
      <c r="Q623" s="182"/>
    </row>
    <row r="624" spans="1:17" ht="15.75" customHeight="1" x14ac:dyDescent="0.25">
      <c r="A624" s="182"/>
      <c r="B624" s="182"/>
      <c r="C624" s="182"/>
      <c r="D624" s="182"/>
      <c r="E624" s="182"/>
      <c r="F624" s="182"/>
      <c r="G624" s="182"/>
      <c r="H624" s="182"/>
      <c r="I624" s="182"/>
      <c r="J624" s="182"/>
      <c r="K624" s="182"/>
      <c r="L624" s="182"/>
      <c r="M624" s="182"/>
      <c r="N624" s="182"/>
      <c r="O624" s="182"/>
      <c r="P624" s="182"/>
      <c r="Q624" s="182"/>
    </row>
    <row r="625" spans="1:17" ht="15.75" customHeight="1" x14ac:dyDescent="0.25">
      <c r="A625" s="182"/>
      <c r="B625" s="182"/>
      <c r="C625" s="182"/>
      <c r="D625" s="182"/>
      <c r="E625" s="182"/>
      <c r="F625" s="182"/>
      <c r="G625" s="182"/>
      <c r="H625" s="182"/>
      <c r="I625" s="182"/>
      <c r="J625" s="182"/>
      <c r="K625" s="182"/>
      <c r="L625" s="182"/>
      <c r="M625" s="182"/>
      <c r="N625" s="182"/>
      <c r="O625" s="182"/>
      <c r="P625" s="182"/>
      <c r="Q625" s="182"/>
    </row>
    <row r="626" spans="1:17" ht="15.75" customHeight="1" x14ac:dyDescent="0.25">
      <c r="A626" s="182"/>
      <c r="B626" s="182"/>
      <c r="C626" s="182"/>
      <c r="D626" s="182"/>
      <c r="E626" s="182"/>
      <c r="F626" s="182"/>
      <c r="G626" s="182"/>
      <c r="H626" s="182"/>
      <c r="I626" s="182"/>
      <c r="J626" s="182"/>
      <c r="K626" s="182"/>
      <c r="L626" s="182"/>
      <c r="M626" s="182"/>
      <c r="N626" s="182"/>
      <c r="O626" s="182"/>
      <c r="P626" s="182"/>
      <c r="Q626" s="182"/>
    </row>
    <row r="627" spans="1:17" ht="15.75" customHeight="1" x14ac:dyDescent="0.25">
      <c r="A627" s="182"/>
      <c r="B627" s="182"/>
      <c r="C627" s="182"/>
      <c r="D627" s="182"/>
      <c r="E627" s="182"/>
      <c r="F627" s="182"/>
      <c r="G627" s="182"/>
      <c r="H627" s="182"/>
      <c r="I627" s="182"/>
      <c r="J627" s="182"/>
      <c r="K627" s="182"/>
      <c r="L627" s="182"/>
      <c r="M627" s="182"/>
      <c r="N627" s="182"/>
      <c r="O627" s="182"/>
      <c r="P627" s="182"/>
      <c r="Q627" s="182"/>
    </row>
    <row r="628" spans="1:17" ht="15.75" customHeight="1" x14ac:dyDescent="0.25">
      <c r="A628" s="182"/>
      <c r="B628" s="182"/>
      <c r="C628" s="182"/>
      <c r="D628" s="182"/>
      <c r="E628" s="182"/>
      <c r="F628" s="182"/>
      <c r="G628" s="182"/>
      <c r="H628" s="182"/>
      <c r="I628" s="182"/>
      <c r="J628" s="182"/>
      <c r="K628" s="182"/>
      <c r="L628" s="182"/>
      <c r="M628" s="182"/>
      <c r="N628" s="182"/>
      <c r="O628" s="182"/>
      <c r="P628" s="182"/>
      <c r="Q628" s="182"/>
    </row>
    <row r="629" spans="1:17" ht="15.75" customHeight="1" x14ac:dyDescent="0.25">
      <c r="A629" s="182"/>
      <c r="B629" s="182"/>
      <c r="C629" s="182"/>
      <c r="D629" s="182"/>
      <c r="E629" s="182"/>
      <c r="F629" s="182"/>
      <c r="G629" s="182"/>
      <c r="H629" s="182"/>
      <c r="I629" s="182"/>
      <c r="J629" s="182"/>
      <c r="K629" s="182"/>
      <c r="L629" s="182"/>
      <c r="M629" s="182"/>
      <c r="N629" s="182"/>
      <c r="O629" s="182"/>
      <c r="P629" s="182"/>
      <c r="Q629" s="182"/>
    </row>
    <row r="630" spans="1:17" ht="15.75" customHeight="1" x14ac:dyDescent="0.25">
      <c r="A630" s="182"/>
      <c r="B630" s="182"/>
      <c r="C630" s="182"/>
      <c r="D630" s="182"/>
      <c r="E630" s="182"/>
      <c r="F630" s="182"/>
      <c r="G630" s="182"/>
      <c r="H630" s="182"/>
      <c r="I630" s="182"/>
      <c r="J630" s="182"/>
      <c r="K630" s="182"/>
      <c r="L630" s="182"/>
      <c r="M630" s="182"/>
      <c r="N630" s="182"/>
      <c r="O630" s="182"/>
      <c r="P630" s="182"/>
      <c r="Q630" s="182"/>
    </row>
    <row r="631" spans="1:17" ht="15.75" customHeight="1" x14ac:dyDescent="0.25">
      <c r="A631" s="182"/>
      <c r="B631" s="182"/>
      <c r="C631" s="182"/>
      <c r="D631" s="182"/>
      <c r="E631" s="182"/>
      <c r="F631" s="182"/>
      <c r="G631" s="182"/>
      <c r="H631" s="182"/>
      <c r="I631" s="182"/>
      <c r="J631" s="182"/>
      <c r="K631" s="182"/>
      <c r="L631" s="182"/>
      <c r="M631" s="182"/>
      <c r="N631" s="182"/>
      <c r="O631" s="182"/>
      <c r="P631" s="182"/>
      <c r="Q631" s="182"/>
    </row>
    <row r="632" spans="1:17" ht="15.75" customHeight="1" x14ac:dyDescent="0.25">
      <c r="A632" s="182"/>
      <c r="B632" s="182"/>
      <c r="C632" s="182"/>
      <c r="D632" s="182"/>
      <c r="E632" s="182"/>
      <c r="F632" s="182"/>
      <c r="G632" s="182"/>
      <c r="H632" s="182"/>
      <c r="I632" s="182"/>
      <c r="J632" s="182"/>
      <c r="K632" s="182"/>
      <c r="L632" s="182"/>
      <c r="M632" s="182"/>
      <c r="N632" s="182"/>
      <c r="O632" s="182"/>
      <c r="P632" s="182"/>
      <c r="Q632" s="182"/>
    </row>
    <row r="633" spans="1:17" ht="15.75" customHeight="1" x14ac:dyDescent="0.25">
      <c r="A633" s="182"/>
      <c r="B633" s="182"/>
      <c r="C633" s="182"/>
      <c r="D633" s="182"/>
      <c r="E633" s="182"/>
      <c r="F633" s="182"/>
      <c r="G633" s="182"/>
      <c r="H633" s="182"/>
      <c r="I633" s="182"/>
      <c r="J633" s="182"/>
      <c r="K633" s="182"/>
      <c r="L633" s="182"/>
      <c r="M633" s="182"/>
      <c r="N633" s="182"/>
      <c r="O633" s="182"/>
      <c r="P633" s="182"/>
      <c r="Q633" s="182"/>
    </row>
    <row r="634" spans="1:17" ht="15.75" customHeight="1" x14ac:dyDescent="0.25">
      <c r="A634" s="182"/>
      <c r="B634" s="182"/>
      <c r="C634" s="182"/>
      <c r="D634" s="182"/>
      <c r="E634" s="182"/>
      <c r="F634" s="182"/>
      <c r="G634" s="182"/>
      <c r="H634" s="182"/>
      <c r="I634" s="182"/>
      <c r="J634" s="182"/>
      <c r="K634" s="182"/>
      <c r="L634" s="182"/>
      <c r="M634" s="182"/>
      <c r="N634" s="182"/>
      <c r="O634" s="182"/>
      <c r="P634" s="182"/>
      <c r="Q634" s="182"/>
    </row>
    <row r="635" spans="1:17" ht="15.75" customHeight="1" x14ac:dyDescent="0.25">
      <c r="A635" s="182"/>
      <c r="B635" s="182"/>
      <c r="C635" s="182"/>
      <c r="D635" s="182"/>
      <c r="E635" s="182"/>
      <c r="F635" s="182"/>
      <c r="G635" s="182"/>
      <c r="H635" s="182"/>
      <c r="I635" s="182"/>
      <c r="J635" s="182"/>
      <c r="K635" s="182"/>
      <c r="L635" s="182"/>
      <c r="M635" s="182"/>
      <c r="N635" s="182"/>
      <c r="O635" s="182"/>
      <c r="P635" s="182"/>
      <c r="Q635" s="182"/>
    </row>
    <row r="636" spans="1:17" ht="15.75" customHeight="1" x14ac:dyDescent="0.25">
      <c r="A636" s="182"/>
      <c r="B636" s="182"/>
      <c r="C636" s="182"/>
      <c r="D636" s="182"/>
      <c r="E636" s="182"/>
      <c r="F636" s="182"/>
      <c r="G636" s="182"/>
      <c r="H636" s="182"/>
      <c r="I636" s="182"/>
      <c r="J636" s="182"/>
      <c r="K636" s="182"/>
      <c r="L636" s="182"/>
      <c r="M636" s="182"/>
      <c r="N636" s="182"/>
      <c r="O636" s="182"/>
      <c r="P636" s="182"/>
      <c r="Q636" s="182"/>
    </row>
    <row r="637" spans="1:17" ht="15.75" customHeight="1" x14ac:dyDescent="0.25">
      <c r="A637" s="182"/>
      <c r="B637" s="182"/>
      <c r="C637" s="182"/>
      <c r="D637" s="182"/>
      <c r="E637" s="182"/>
      <c r="F637" s="182"/>
      <c r="G637" s="182"/>
      <c r="H637" s="182"/>
      <c r="I637" s="182"/>
      <c r="J637" s="182"/>
      <c r="K637" s="182"/>
      <c r="L637" s="182"/>
      <c r="M637" s="182"/>
      <c r="N637" s="182"/>
      <c r="O637" s="182"/>
      <c r="P637" s="182"/>
      <c r="Q637" s="182"/>
    </row>
    <row r="638" spans="1:17" ht="15.75" customHeight="1" x14ac:dyDescent="0.25">
      <c r="A638" s="182"/>
      <c r="B638" s="182"/>
      <c r="C638" s="182"/>
      <c r="D638" s="182"/>
      <c r="E638" s="182"/>
      <c r="F638" s="182"/>
      <c r="G638" s="182"/>
      <c r="H638" s="182"/>
      <c r="I638" s="182"/>
      <c r="J638" s="182"/>
      <c r="K638" s="182"/>
      <c r="L638" s="182"/>
      <c r="M638" s="182"/>
      <c r="N638" s="182"/>
      <c r="O638" s="182"/>
      <c r="P638" s="182"/>
      <c r="Q638" s="182"/>
    </row>
    <row r="639" spans="1:17" ht="15.75" customHeight="1" x14ac:dyDescent="0.25">
      <c r="A639" s="182"/>
      <c r="B639" s="182"/>
      <c r="C639" s="182"/>
      <c r="D639" s="182"/>
      <c r="E639" s="182"/>
      <c r="F639" s="182"/>
      <c r="G639" s="182"/>
      <c r="H639" s="182"/>
      <c r="I639" s="182"/>
      <c r="J639" s="182"/>
      <c r="K639" s="182"/>
      <c r="L639" s="182"/>
      <c r="M639" s="182"/>
      <c r="N639" s="182"/>
      <c r="O639" s="182"/>
      <c r="P639" s="182"/>
      <c r="Q639" s="182"/>
    </row>
    <row r="640" spans="1:17" ht="15.75" customHeight="1" x14ac:dyDescent="0.25">
      <c r="A640" s="182"/>
      <c r="B640" s="182"/>
      <c r="C640" s="182"/>
      <c r="D640" s="182"/>
      <c r="E640" s="182"/>
      <c r="F640" s="182"/>
      <c r="G640" s="182"/>
      <c r="H640" s="182"/>
      <c r="I640" s="182"/>
      <c r="J640" s="182"/>
      <c r="K640" s="182"/>
      <c r="L640" s="182"/>
      <c r="M640" s="182"/>
      <c r="N640" s="182"/>
      <c r="O640" s="182"/>
      <c r="P640" s="182"/>
      <c r="Q640" s="182"/>
    </row>
    <row r="641" spans="1:17" ht="15.75" customHeight="1" x14ac:dyDescent="0.25">
      <c r="A641" s="182"/>
      <c r="B641" s="182"/>
      <c r="C641" s="182"/>
      <c r="D641" s="182"/>
      <c r="E641" s="182"/>
      <c r="F641" s="182"/>
      <c r="G641" s="182"/>
      <c r="H641" s="182"/>
      <c r="I641" s="182"/>
      <c r="J641" s="182"/>
      <c r="K641" s="182"/>
      <c r="L641" s="182"/>
      <c r="M641" s="182"/>
      <c r="N641" s="182"/>
      <c r="O641" s="182"/>
      <c r="P641" s="182"/>
      <c r="Q641" s="182"/>
    </row>
    <row r="642" spans="1:17" ht="15.75" customHeight="1" x14ac:dyDescent="0.25">
      <c r="A642" s="182"/>
      <c r="B642" s="182"/>
      <c r="C642" s="182"/>
      <c r="D642" s="182"/>
      <c r="E642" s="182"/>
      <c r="F642" s="182"/>
      <c r="G642" s="182"/>
      <c r="H642" s="182"/>
      <c r="I642" s="182"/>
      <c r="J642" s="182"/>
      <c r="K642" s="182"/>
      <c r="L642" s="182"/>
      <c r="M642" s="182"/>
      <c r="N642" s="182"/>
      <c r="O642" s="182"/>
      <c r="P642" s="182"/>
      <c r="Q642" s="182"/>
    </row>
    <row r="643" spans="1:17" ht="15.75" customHeight="1" x14ac:dyDescent="0.25">
      <c r="A643" s="182"/>
      <c r="B643" s="182"/>
      <c r="C643" s="182"/>
      <c r="D643" s="182"/>
      <c r="E643" s="182"/>
      <c r="F643" s="182"/>
      <c r="G643" s="182"/>
      <c r="H643" s="182"/>
      <c r="I643" s="182"/>
      <c r="J643" s="182"/>
      <c r="K643" s="182"/>
      <c r="L643" s="182"/>
      <c r="M643" s="182"/>
      <c r="N643" s="182"/>
      <c r="O643" s="182"/>
      <c r="P643" s="182"/>
      <c r="Q643" s="182"/>
    </row>
    <row r="644" spans="1:17" ht="15.75" customHeight="1" x14ac:dyDescent="0.25">
      <c r="A644" s="182"/>
      <c r="B644" s="182"/>
      <c r="C644" s="182"/>
      <c r="D644" s="182"/>
      <c r="E644" s="182"/>
      <c r="F644" s="182"/>
      <c r="G644" s="182"/>
      <c r="H644" s="182"/>
      <c r="I644" s="182"/>
      <c r="J644" s="182"/>
      <c r="K644" s="182"/>
      <c r="L644" s="182"/>
      <c r="M644" s="182"/>
      <c r="N644" s="182"/>
      <c r="O644" s="182"/>
      <c r="P644" s="182"/>
      <c r="Q644" s="182"/>
    </row>
    <row r="645" spans="1:17" ht="15.75" customHeight="1" x14ac:dyDescent="0.25">
      <c r="A645" s="182"/>
      <c r="B645" s="182"/>
      <c r="C645" s="182"/>
      <c r="D645" s="182"/>
      <c r="E645" s="182"/>
      <c r="F645" s="182"/>
      <c r="G645" s="182"/>
      <c r="H645" s="182"/>
      <c r="I645" s="182"/>
      <c r="J645" s="182"/>
      <c r="K645" s="182"/>
      <c r="L645" s="182"/>
      <c r="M645" s="182"/>
      <c r="N645" s="182"/>
      <c r="O645" s="182"/>
      <c r="P645" s="182"/>
      <c r="Q645" s="182"/>
    </row>
    <row r="646" spans="1:17" ht="15.75" customHeight="1" x14ac:dyDescent="0.25">
      <c r="A646" s="182"/>
      <c r="B646" s="182"/>
      <c r="C646" s="182"/>
      <c r="D646" s="182"/>
      <c r="E646" s="182"/>
      <c r="F646" s="182"/>
      <c r="G646" s="182"/>
      <c r="H646" s="182"/>
      <c r="I646" s="182"/>
      <c r="J646" s="182"/>
      <c r="K646" s="182"/>
      <c r="L646" s="182"/>
      <c r="M646" s="182"/>
      <c r="N646" s="182"/>
      <c r="O646" s="182"/>
      <c r="P646" s="182"/>
      <c r="Q646" s="182"/>
    </row>
    <row r="647" spans="1:17" ht="15.75" customHeight="1" x14ac:dyDescent="0.25">
      <c r="A647" s="182"/>
      <c r="B647" s="182"/>
      <c r="C647" s="182"/>
      <c r="D647" s="182"/>
      <c r="E647" s="182"/>
      <c r="F647" s="182"/>
      <c r="G647" s="182"/>
      <c r="H647" s="182"/>
      <c r="I647" s="182"/>
      <c r="J647" s="182"/>
      <c r="K647" s="182"/>
      <c r="L647" s="182"/>
      <c r="M647" s="182"/>
      <c r="N647" s="182"/>
      <c r="O647" s="182"/>
      <c r="P647" s="182"/>
      <c r="Q647" s="182"/>
    </row>
    <row r="648" spans="1:17" ht="15.75" customHeight="1" x14ac:dyDescent="0.25">
      <c r="A648" s="182"/>
      <c r="B648" s="182"/>
      <c r="C648" s="182"/>
      <c r="D648" s="182"/>
      <c r="E648" s="182"/>
      <c r="F648" s="182"/>
      <c r="G648" s="182"/>
      <c r="H648" s="182"/>
      <c r="I648" s="182"/>
      <c r="J648" s="182"/>
      <c r="K648" s="182"/>
      <c r="L648" s="182"/>
      <c r="M648" s="182"/>
      <c r="N648" s="182"/>
      <c r="O648" s="182"/>
      <c r="P648" s="182"/>
      <c r="Q648" s="182"/>
    </row>
    <row r="649" spans="1:17" ht="15.75" customHeight="1" x14ac:dyDescent="0.25">
      <c r="A649" s="182"/>
      <c r="B649" s="182"/>
      <c r="C649" s="182"/>
      <c r="D649" s="182"/>
      <c r="E649" s="182"/>
      <c r="F649" s="182"/>
      <c r="G649" s="182"/>
      <c r="H649" s="182"/>
      <c r="I649" s="182"/>
      <c r="J649" s="182"/>
      <c r="K649" s="182"/>
      <c r="L649" s="182"/>
      <c r="M649" s="182"/>
      <c r="N649" s="182"/>
      <c r="O649" s="182"/>
      <c r="P649" s="182"/>
      <c r="Q649" s="182"/>
    </row>
    <row r="650" spans="1:17" ht="15.75" customHeight="1" x14ac:dyDescent="0.25">
      <c r="A650" s="182"/>
      <c r="B650" s="182"/>
      <c r="C650" s="182"/>
      <c r="D650" s="182"/>
      <c r="E650" s="182"/>
      <c r="F650" s="182"/>
      <c r="G650" s="182"/>
      <c r="H650" s="182"/>
      <c r="I650" s="182"/>
      <c r="J650" s="182"/>
      <c r="K650" s="182"/>
      <c r="L650" s="182"/>
      <c r="M650" s="182"/>
      <c r="N650" s="182"/>
      <c r="O650" s="182"/>
      <c r="P650" s="182"/>
      <c r="Q650" s="182"/>
    </row>
    <row r="651" spans="1:17" ht="15.75" customHeight="1" x14ac:dyDescent="0.25">
      <c r="A651" s="182"/>
      <c r="B651" s="182"/>
      <c r="C651" s="182"/>
      <c r="D651" s="182"/>
      <c r="E651" s="182"/>
      <c r="F651" s="182"/>
      <c r="G651" s="182"/>
      <c r="H651" s="182"/>
      <c r="I651" s="182"/>
      <c r="J651" s="182"/>
      <c r="K651" s="182"/>
      <c r="L651" s="182"/>
      <c r="M651" s="182"/>
      <c r="N651" s="182"/>
      <c r="O651" s="182"/>
      <c r="P651" s="182"/>
      <c r="Q651" s="182"/>
    </row>
    <row r="652" spans="1:17" ht="15.75" customHeight="1" x14ac:dyDescent="0.25">
      <c r="A652" s="182"/>
      <c r="B652" s="182"/>
      <c r="C652" s="182"/>
      <c r="D652" s="182"/>
      <c r="E652" s="182"/>
      <c r="F652" s="182"/>
      <c r="G652" s="182"/>
      <c r="H652" s="182"/>
      <c r="I652" s="182"/>
      <c r="J652" s="182"/>
      <c r="K652" s="182"/>
      <c r="L652" s="182"/>
      <c r="M652" s="182"/>
      <c r="N652" s="182"/>
      <c r="O652" s="182"/>
      <c r="P652" s="182"/>
      <c r="Q652" s="182"/>
    </row>
    <row r="653" spans="1:17" ht="15.75" customHeight="1" x14ac:dyDescent="0.25">
      <c r="A653" s="182"/>
      <c r="B653" s="182"/>
      <c r="C653" s="182"/>
      <c r="D653" s="182"/>
      <c r="E653" s="182"/>
      <c r="F653" s="182"/>
      <c r="G653" s="182"/>
      <c r="H653" s="182"/>
      <c r="I653" s="182"/>
      <c r="J653" s="182"/>
      <c r="K653" s="182"/>
      <c r="L653" s="182"/>
      <c r="M653" s="182"/>
      <c r="N653" s="182"/>
      <c r="O653" s="182"/>
      <c r="P653" s="182"/>
      <c r="Q653" s="182"/>
    </row>
    <row r="654" spans="1:17" ht="15.75" customHeight="1" x14ac:dyDescent="0.25">
      <c r="A654" s="182"/>
      <c r="B654" s="182"/>
      <c r="C654" s="182"/>
      <c r="D654" s="182"/>
      <c r="E654" s="182"/>
      <c r="F654" s="182"/>
      <c r="G654" s="182"/>
      <c r="H654" s="182"/>
      <c r="I654" s="182"/>
      <c r="J654" s="182"/>
      <c r="K654" s="182"/>
      <c r="L654" s="182"/>
      <c r="M654" s="182"/>
      <c r="N654" s="182"/>
      <c r="O654" s="182"/>
      <c r="P654" s="182"/>
      <c r="Q654" s="182"/>
    </row>
    <row r="655" spans="1:17" ht="15.75" customHeight="1" x14ac:dyDescent="0.25">
      <c r="A655" s="182"/>
      <c r="B655" s="182"/>
      <c r="C655" s="182"/>
      <c r="D655" s="182"/>
      <c r="E655" s="182"/>
      <c r="F655" s="182"/>
      <c r="G655" s="182"/>
      <c r="H655" s="182"/>
      <c r="I655" s="182"/>
      <c r="J655" s="182"/>
      <c r="K655" s="182"/>
      <c r="L655" s="182"/>
      <c r="M655" s="182"/>
      <c r="N655" s="182"/>
      <c r="O655" s="182"/>
      <c r="P655" s="182"/>
      <c r="Q655" s="182"/>
    </row>
    <row r="656" spans="1:17" ht="15.75" customHeight="1" x14ac:dyDescent="0.25">
      <c r="A656" s="182"/>
      <c r="B656" s="182"/>
      <c r="C656" s="182"/>
      <c r="D656" s="182"/>
      <c r="E656" s="182"/>
      <c r="F656" s="182"/>
      <c r="G656" s="182"/>
      <c r="H656" s="182"/>
      <c r="I656" s="182"/>
      <c r="J656" s="182"/>
      <c r="K656" s="182"/>
      <c r="L656" s="182"/>
      <c r="M656" s="182"/>
      <c r="N656" s="182"/>
      <c r="O656" s="182"/>
      <c r="P656" s="182"/>
      <c r="Q656" s="182"/>
    </row>
    <row r="657" spans="1:17" ht="15.75" customHeight="1" x14ac:dyDescent="0.25">
      <c r="A657" s="182"/>
      <c r="B657" s="182"/>
      <c r="C657" s="182"/>
      <c r="D657" s="182"/>
      <c r="E657" s="182"/>
      <c r="F657" s="182"/>
      <c r="G657" s="182"/>
      <c r="H657" s="182"/>
      <c r="I657" s="182"/>
      <c r="J657" s="182"/>
      <c r="K657" s="182"/>
      <c r="L657" s="182"/>
      <c r="M657" s="182"/>
      <c r="N657" s="182"/>
      <c r="O657" s="182"/>
      <c r="P657" s="182"/>
      <c r="Q657" s="182"/>
    </row>
    <row r="658" spans="1:17" ht="15.75" customHeight="1" x14ac:dyDescent="0.25">
      <c r="A658" s="182"/>
      <c r="B658" s="182"/>
      <c r="C658" s="182"/>
      <c r="D658" s="182"/>
      <c r="E658" s="182"/>
      <c r="F658" s="182"/>
      <c r="G658" s="182"/>
      <c r="H658" s="182"/>
      <c r="I658" s="182"/>
      <c r="J658" s="182"/>
      <c r="K658" s="182"/>
      <c r="L658" s="182"/>
      <c r="M658" s="182"/>
      <c r="N658" s="182"/>
      <c r="O658" s="182"/>
      <c r="P658" s="182"/>
      <c r="Q658" s="182"/>
    </row>
    <row r="659" spans="1:17" ht="15.75" customHeight="1" x14ac:dyDescent="0.25">
      <c r="A659" s="182"/>
      <c r="B659" s="182"/>
      <c r="C659" s="182"/>
      <c r="D659" s="182"/>
      <c r="E659" s="182"/>
      <c r="F659" s="182"/>
      <c r="G659" s="182"/>
      <c r="H659" s="182"/>
      <c r="I659" s="182"/>
      <c r="J659" s="182"/>
      <c r="K659" s="182"/>
      <c r="L659" s="182"/>
      <c r="M659" s="182"/>
      <c r="N659" s="182"/>
      <c r="O659" s="182"/>
      <c r="P659" s="182"/>
      <c r="Q659" s="182"/>
    </row>
    <row r="660" spans="1:17" ht="15.75" customHeight="1" x14ac:dyDescent="0.25">
      <c r="A660" s="182"/>
      <c r="B660" s="182"/>
      <c r="C660" s="182"/>
      <c r="D660" s="182"/>
      <c r="E660" s="182"/>
      <c r="F660" s="182"/>
      <c r="G660" s="182"/>
      <c r="H660" s="182"/>
      <c r="I660" s="182"/>
      <c r="J660" s="182"/>
      <c r="K660" s="182"/>
      <c r="L660" s="182"/>
      <c r="M660" s="182"/>
      <c r="N660" s="182"/>
      <c r="O660" s="182"/>
      <c r="P660" s="182"/>
      <c r="Q660" s="182"/>
    </row>
    <row r="661" spans="1:17" ht="15.75" customHeight="1" x14ac:dyDescent="0.25">
      <c r="A661" s="182"/>
      <c r="B661" s="182"/>
      <c r="C661" s="182"/>
      <c r="D661" s="182"/>
      <c r="E661" s="182"/>
      <c r="F661" s="182"/>
      <c r="G661" s="182"/>
      <c r="H661" s="182"/>
      <c r="I661" s="182"/>
      <c r="J661" s="182"/>
      <c r="K661" s="182"/>
      <c r="L661" s="182"/>
      <c r="M661" s="182"/>
      <c r="N661" s="182"/>
      <c r="O661" s="182"/>
      <c r="P661" s="182"/>
      <c r="Q661" s="182"/>
    </row>
    <row r="662" spans="1:17" ht="15.75" customHeight="1" x14ac:dyDescent="0.25">
      <c r="A662" s="182"/>
      <c r="B662" s="182"/>
      <c r="C662" s="182"/>
      <c r="D662" s="182"/>
      <c r="E662" s="182"/>
      <c r="F662" s="182"/>
      <c r="G662" s="182"/>
      <c r="H662" s="182"/>
      <c r="I662" s="182"/>
      <c r="J662" s="182"/>
      <c r="K662" s="182"/>
      <c r="L662" s="182"/>
      <c r="M662" s="182"/>
      <c r="N662" s="182"/>
      <c r="O662" s="182"/>
      <c r="P662" s="182"/>
      <c r="Q662" s="182"/>
    </row>
    <row r="663" spans="1:17" ht="15.75" customHeight="1" x14ac:dyDescent="0.25">
      <c r="A663" s="182"/>
      <c r="B663" s="182"/>
      <c r="C663" s="182"/>
      <c r="D663" s="182"/>
      <c r="E663" s="182"/>
      <c r="F663" s="182"/>
      <c r="G663" s="182"/>
      <c r="H663" s="182"/>
      <c r="I663" s="182"/>
      <c r="J663" s="182"/>
      <c r="K663" s="182"/>
      <c r="L663" s="182"/>
      <c r="M663" s="182"/>
      <c r="N663" s="182"/>
      <c r="O663" s="182"/>
      <c r="P663" s="182"/>
      <c r="Q663" s="182"/>
    </row>
    <row r="664" spans="1:17" ht="15.75" customHeight="1" x14ac:dyDescent="0.25">
      <c r="A664" s="182"/>
      <c r="B664" s="182"/>
      <c r="C664" s="182"/>
      <c r="D664" s="182"/>
      <c r="E664" s="182"/>
      <c r="F664" s="182"/>
      <c r="G664" s="182"/>
      <c r="H664" s="182"/>
      <c r="I664" s="182"/>
      <c r="J664" s="182"/>
      <c r="K664" s="182"/>
      <c r="L664" s="182"/>
      <c r="M664" s="182"/>
      <c r="N664" s="182"/>
      <c r="O664" s="182"/>
      <c r="P664" s="182"/>
      <c r="Q664" s="182"/>
    </row>
    <row r="665" spans="1:17" ht="15.75" customHeight="1" x14ac:dyDescent="0.25">
      <c r="A665" s="182"/>
      <c r="B665" s="182"/>
      <c r="C665" s="182"/>
      <c r="D665" s="182"/>
      <c r="E665" s="182"/>
      <c r="F665" s="182"/>
      <c r="G665" s="182"/>
      <c r="H665" s="182"/>
      <c r="I665" s="182"/>
      <c r="J665" s="182"/>
      <c r="K665" s="182"/>
      <c r="L665" s="182"/>
      <c r="M665" s="182"/>
      <c r="N665" s="182"/>
      <c r="O665" s="182"/>
      <c r="P665" s="182"/>
      <c r="Q665" s="182"/>
    </row>
    <row r="666" spans="1:17" ht="15.75" customHeight="1" x14ac:dyDescent="0.25">
      <c r="A666" s="182"/>
      <c r="B666" s="182"/>
      <c r="C666" s="182"/>
      <c r="D666" s="182"/>
      <c r="E666" s="182"/>
      <c r="F666" s="182"/>
      <c r="G666" s="182"/>
      <c r="H666" s="182"/>
      <c r="I666" s="182"/>
      <c r="J666" s="182"/>
      <c r="K666" s="182"/>
      <c r="L666" s="182"/>
      <c r="M666" s="182"/>
      <c r="N666" s="182"/>
      <c r="O666" s="182"/>
      <c r="P666" s="182"/>
      <c r="Q666" s="182"/>
    </row>
    <row r="667" spans="1:17" ht="15.75" customHeight="1" x14ac:dyDescent="0.25">
      <c r="A667" s="182"/>
      <c r="B667" s="182"/>
      <c r="C667" s="182"/>
      <c r="D667" s="182"/>
      <c r="E667" s="182"/>
      <c r="F667" s="182"/>
      <c r="G667" s="182"/>
      <c r="H667" s="182"/>
      <c r="I667" s="182"/>
      <c r="J667" s="182"/>
      <c r="K667" s="182"/>
      <c r="L667" s="182"/>
      <c r="M667" s="182"/>
      <c r="N667" s="182"/>
      <c r="O667" s="182"/>
      <c r="P667" s="182"/>
      <c r="Q667" s="182"/>
    </row>
    <row r="668" spans="1:17" ht="15.75" customHeight="1" x14ac:dyDescent="0.25">
      <c r="A668" s="182"/>
      <c r="B668" s="182"/>
      <c r="C668" s="182"/>
      <c r="D668" s="182"/>
      <c r="E668" s="182"/>
      <c r="F668" s="182"/>
      <c r="G668" s="182"/>
      <c r="H668" s="182"/>
      <c r="I668" s="182"/>
      <c r="J668" s="182"/>
      <c r="K668" s="182"/>
      <c r="L668" s="182"/>
      <c r="M668" s="182"/>
      <c r="N668" s="182"/>
      <c r="O668" s="182"/>
      <c r="P668" s="182"/>
      <c r="Q668" s="182"/>
    </row>
    <row r="669" spans="1:17" ht="15.75" customHeight="1" x14ac:dyDescent="0.25">
      <c r="A669" s="182"/>
      <c r="B669" s="182"/>
      <c r="C669" s="182"/>
      <c r="D669" s="182"/>
      <c r="E669" s="182"/>
      <c r="F669" s="182"/>
      <c r="G669" s="182"/>
      <c r="H669" s="182"/>
      <c r="I669" s="182"/>
      <c r="J669" s="182"/>
      <c r="K669" s="182"/>
      <c r="L669" s="182"/>
      <c r="M669" s="182"/>
      <c r="N669" s="182"/>
      <c r="O669" s="182"/>
      <c r="P669" s="182"/>
      <c r="Q669" s="182"/>
    </row>
    <row r="670" spans="1:17" ht="15.75" customHeight="1" x14ac:dyDescent="0.25">
      <c r="A670" s="182"/>
      <c r="B670" s="182"/>
      <c r="C670" s="182"/>
      <c r="D670" s="182"/>
      <c r="E670" s="182"/>
      <c r="F670" s="182"/>
      <c r="G670" s="182"/>
      <c r="H670" s="182"/>
      <c r="I670" s="182"/>
      <c r="J670" s="182"/>
      <c r="K670" s="182"/>
      <c r="L670" s="182"/>
      <c r="M670" s="182"/>
      <c r="N670" s="182"/>
      <c r="O670" s="182"/>
      <c r="P670" s="182"/>
      <c r="Q670" s="182"/>
    </row>
    <row r="671" spans="1:17" ht="15.75" customHeight="1" x14ac:dyDescent="0.25">
      <c r="A671" s="182"/>
      <c r="B671" s="182"/>
      <c r="C671" s="182"/>
      <c r="D671" s="182"/>
      <c r="E671" s="182"/>
      <c r="F671" s="182"/>
      <c r="G671" s="182"/>
      <c r="H671" s="182"/>
      <c r="I671" s="182"/>
      <c r="J671" s="182"/>
      <c r="K671" s="182"/>
      <c r="L671" s="182"/>
      <c r="M671" s="182"/>
      <c r="N671" s="182"/>
      <c r="O671" s="182"/>
      <c r="P671" s="182"/>
      <c r="Q671" s="182"/>
    </row>
    <row r="672" spans="1:17" ht="15.75" customHeight="1" x14ac:dyDescent="0.25">
      <c r="A672" s="182"/>
      <c r="B672" s="182"/>
      <c r="C672" s="182"/>
      <c r="D672" s="182"/>
      <c r="E672" s="182"/>
      <c r="F672" s="182"/>
      <c r="G672" s="182"/>
      <c r="H672" s="182"/>
      <c r="I672" s="182"/>
      <c r="J672" s="182"/>
      <c r="K672" s="182"/>
      <c r="L672" s="182"/>
      <c r="M672" s="182"/>
      <c r="N672" s="182"/>
      <c r="O672" s="182"/>
      <c r="P672" s="182"/>
      <c r="Q672" s="182"/>
    </row>
    <row r="673" spans="1:17" ht="15.75" customHeight="1" x14ac:dyDescent="0.25">
      <c r="A673" s="182"/>
      <c r="B673" s="182"/>
      <c r="C673" s="182"/>
      <c r="D673" s="182"/>
      <c r="E673" s="182"/>
      <c r="F673" s="182"/>
      <c r="G673" s="182"/>
      <c r="H673" s="182"/>
      <c r="I673" s="182"/>
      <c r="J673" s="182"/>
      <c r="K673" s="182"/>
      <c r="L673" s="182"/>
      <c r="M673" s="182"/>
      <c r="N673" s="182"/>
      <c r="O673" s="182"/>
      <c r="P673" s="182"/>
      <c r="Q673" s="182"/>
    </row>
    <row r="674" spans="1:17" ht="15.75" customHeight="1" x14ac:dyDescent="0.25">
      <c r="A674" s="182"/>
      <c r="B674" s="182"/>
      <c r="C674" s="182"/>
      <c r="D674" s="182"/>
      <c r="E674" s="182"/>
      <c r="F674" s="182"/>
      <c r="G674" s="182"/>
      <c r="H674" s="182"/>
      <c r="I674" s="182"/>
      <c r="J674" s="182"/>
      <c r="K674" s="182"/>
      <c r="L674" s="182"/>
      <c r="M674" s="182"/>
      <c r="N674" s="182"/>
      <c r="O674" s="182"/>
      <c r="P674" s="182"/>
      <c r="Q674" s="182"/>
    </row>
    <row r="675" spans="1:17" ht="15.75" customHeight="1" x14ac:dyDescent="0.25">
      <c r="A675" s="182"/>
      <c r="B675" s="182"/>
      <c r="C675" s="182"/>
      <c r="D675" s="182"/>
      <c r="E675" s="182"/>
      <c r="F675" s="182"/>
      <c r="G675" s="182"/>
      <c r="H675" s="182"/>
      <c r="I675" s="182"/>
      <c r="J675" s="182"/>
      <c r="K675" s="182"/>
      <c r="L675" s="182"/>
      <c r="M675" s="182"/>
      <c r="N675" s="182"/>
      <c r="O675" s="182"/>
      <c r="P675" s="182"/>
      <c r="Q675" s="182"/>
    </row>
    <row r="676" spans="1:17" ht="15.75" customHeight="1" x14ac:dyDescent="0.25">
      <c r="A676" s="182"/>
      <c r="B676" s="182"/>
      <c r="C676" s="182"/>
      <c r="D676" s="182"/>
      <c r="E676" s="182"/>
      <c r="F676" s="182"/>
      <c r="G676" s="182"/>
      <c r="H676" s="182"/>
      <c r="I676" s="182"/>
      <c r="J676" s="182"/>
      <c r="K676" s="182"/>
      <c r="L676" s="182"/>
      <c r="M676" s="182"/>
      <c r="N676" s="182"/>
      <c r="O676" s="182"/>
      <c r="P676" s="182"/>
      <c r="Q676" s="182"/>
    </row>
    <row r="677" spans="1:17" ht="15.75" customHeight="1" x14ac:dyDescent="0.25">
      <c r="A677" s="182"/>
      <c r="B677" s="182"/>
      <c r="C677" s="182"/>
      <c r="D677" s="182"/>
      <c r="E677" s="182"/>
      <c r="F677" s="182"/>
      <c r="G677" s="182"/>
      <c r="H677" s="182"/>
      <c r="I677" s="182"/>
      <c r="J677" s="182"/>
      <c r="K677" s="182"/>
      <c r="L677" s="182"/>
      <c r="M677" s="182"/>
      <c r="N677" s="182"/>
      <c r="O677" s="182"/>
      <c r="P677" s="182"/>
      <c r="Q677" s="182"/>
    </row>
    <row r="678" spans="1:17" ht="15.75" customHeight="1" x14ac:dyDescent="0.25">
      <c r="A678" s="182"/>
      <c r="B678" s="182"/>
      <c r="C678" s="182"/>
      <c r="D678" s="182"/>
      <c r="E678" s="182"/>
      <c r="F678" s="182"/>
      <c r="G678" s="182"/>
      <c r="H678" s="182"/>
      <c r="I678" s="182"/>
      <c r="J678" s="182"/>
      <c r="K678" s="182"/>
      <c r="L678" s="182"/>
      <c r="M678" s="182"/>
      <c r="N678" s="182"/>
      <c r="O678" s="182"/>
      <c r="P678" s="182"/>
      <c r="Q678" s="182"/>
    </row>
    <row r="679" spans="1:17" ht="15.75" customHeight="1" x14ac:dyDescent="0.25">
      <c r="A679" s="182"/>
      <c r="B679" s="182"/>
      <c r="C679" s="182"/>
      <c r="D679" s="182"/>
      <c r="E679" s="182"/>
      <c r="F679" s="182"/>
      <c r="G679" s="182"/>
      <c r="H679" s="182"/>
      <c r="I679" s="182"/>
      <c r="J679" s="182"/>
      <c r="K679" s="182"/>
      <c r="L679" s="182"/>
      <c r="M679" s="182"/>
      <c r="N679" s="182"/>
      <c r="O679" s="182"/>
      <c r="P679" s="182"/>
      <c r="Q679" s="182"/>
    </row>
    <row r="680" spans="1:17" ht="15.75" customHeight="1" x14ac:dyDescent="0.25">
      <c r="A680" s="182"/>
      <c r="B680" s="182"/>
      <c r="C680" s="182"/>
      <c r="D680" s="182"/>
      <c r="E680" s="182"/>
      <c r="F680" s="182"/>
      <c r="G680" s="182"/>
      <c r="H680" s="182"/>
      <c r="I680" s="182"/>
      <c r="J680" s="182"/>
      <c r="K680" s="182"/>
      <c r="L680" s="182"/>
      <c r="M680" s="182"/>
      <c r="N680" s="182"/>
      <c r="O680" s="182"/>
      <c r="P680" s="182"/>
      <c r="Q680" s="182"/>
    </row>
    <row r="681" spans="1:17" ht="15.75" customHeight="1" x14ac:dyDescent="0.25">
      <c r="A681" s="182"/>
      <c r="B681" s="182"/>
      <c r="C681" s="182"/>
      <c r="D681" s="182"/>
      <c r="E681" s="182"/>
      <c r="F681" s="182"/>
      <c r="G681" s="182"/>
      <c r="H681" s="182"/>
      <c r="I681" s="182"/>
      <c r="J681" s="182"/>
      <c r="K681" s="182"/>
      <c r="L681" s="182"/>
      <c r="M681" s="182"/>
      <c r="N681" s="182"/>
      <c r="O681" s="182"/>
      <c r="P681" s="182"/>
      <c r="Q681" s="182"/>
    </row>
    <row r="682" spans="1:17" ht="15.75" customHeight="1" x14ac:dyDescent="0.25">
      <c r="A682" s="182"/>
      <c r="B682" s="182"/>
      <c r="C682" s="182"/>
      <c r="D682" s="182"/>
      <c r="E682" s="182"/>
      <c r="F682" s="182"/>
      <c r="G682" s="182"/>
      <c r="H682" s="182"/>
      <c r="I682" s="182"/>
      <c r="J682" s="182"/>
      <c r="K682" s="182"/>
      <c r="L682" s="182"/>
      <c r="M682" s="182"/>
      <c r="N682" s="182"/>
      <c r="O682" s="182"/>
      <c r="P682" s="182"/>
      <c r="Q682" s="182"/>
    </row>
    <row r="683" spans="1:17" ht="15.75" customHeight="1" x14ac:dyDescent="0.25">
      <c r="A683" s="182"/>
      <c r="B683" s="182"/>
      <c r="C683" s="182"/>
      <c r="D683" s="182"/>
      <c r="E683" s="182"/>
      <c r="F683" s="182"/>
      <c r="G683" s="182"/>
      <c r="H683" s="182"/>
      <c r="I683" s="182"/>
      <c r="J683" s="182"/>
      <c r="K683" s="182"/>
      <c r="L683" s="182"/>
      <c r="M683" s="182"/>
      <c r="N683" s="182"/>
      <c r="O683" s="182"/>
      <c r="P683" s="182"/>
      <c r="Q683" s="182"/>
    </row>
    <row r="684" spans="1:17" ht="15.75" customHeight="1" x14ac:dyDescent="0.25">
      <c r="A684" s="182"/>
      <c r="B684" s="182"/>
      <c r="C684" s="182"/>
      <c r="D684" s="182"/>
      <c r="E684" s="182"/>
      <c r="F684" s="182"/>
      <c r="G684" s="182"/>
      <c r="H684" s="182"/>
      <c r="I684" s="182"/>
      <c r="J684" s="182"/>
      <c r="K684" s="182"/>
      <c r="L684" s="182"/>
      <c r="M684" s="182"/>
      <c r="N684" s="182"/>
      <c r="O684" s="182"/>
      <c r="P684" s="182"/>
      <c r="Q684" s="182"/>
    </row>
    <row r="685" spans="1:17" ht="15.75" customHeight="1" x14ac:dyDescent="0.25">
      <c r="A685" s="182"/>
      <c r="B685" s="182"/>
      <c r="C685" s="182"/>
      <c r="D685" s="182"/>
      <c r="E685" s="182"/>
      <c r="F685" s="182"/>
      <c r="G685" s="182"/>
      <c r="H685" s="182"/>
      <c r="I685" s="182"/>
      <c r="J685" s="182"/>
      <c r="K685" s="182"/>
      <c r="L685" s="182"/>
      <c r="M685" s="182"/>
      <c r="N685" s="182"/>
      <c r="O685" s="182"/>
      <c r="P685" s="182"/>
      <c r="Q685" s="182"/>
    </row>
    <row r="686" spans="1:17" ht="15.75" customHeight="1" x14ac:dyDescent="0.25">
      <c r="A686" s="182"/>
      <c r="B686" s="182"/>
      <c r="C686" s="182"/>
      <c r="D686" s="182"/>
      <c r="E686" s="182"/>
      <c r="F686" s="182"/>
      <c r="G686" s="182"/>
      <c r="H686" s="182"/>
      <c r="I686" s="182"/>
      <c r="J686" s="182"/>
      <c r="K686" s="182"/>
      <c r="L686" s="182"/>
      <c r="M686" s="182"/>
      <c r="N686" s="182"/>
      <c r="O686" s="182"/>
      <c r="P686" s="182"/>
      <c r="Q686" s="182"/>
    </row>
    <row r="687" spans="1:17" ht="15.75" customHeight="1" x14ac:dyDescent="0.25">
      <c r="A687" s="182"/>
      <c r="B687" s="182"/>
      <c r="C687" s="182"/>
      <c r="D687" s="182"/>
      <c r="E687" s="182"/>
      <c r="F687" s="182"/>
      <c r="G687" s="182"/>
      <c r="H687" s="182"/>
      <c r="I687" s="182"/>
      <c r="J687" s="182"/>
      <c r="K687" s="182"/>
      <c r="L687" s="182"/>
      <c r="M687" s="182"/>
      <c r="N687" s="182"/>
      <c r="O687" s="182"/>
      <c r="P687" s="182"/>
      <c r="Q687" s="182"/>
    </row>
    <row r="688" spans="1:17" ht="15.75" customHeight="1" x14ac:dyDescent="0.25">
      <c r="A688" s="182"/>
      <c r="B688" s="182"/>
      <c r="C688" s="182"/>
      <c r="D688" s="182"/>
      <c r="E688" s="182"/>
      <c r="F688" s="182"/>
      <c r="G688" s="182"/>
      <c r="H688" s="182"/>
      <c r="I688" s="182"/>
      <c r="J688" s="182"/>
      <c r="K688" s="182"/>
      <c r="L688" s="182"/>
      <c r="M688" s="182"/>
      <c r="N688" s="182"/>
      <c r="O688" s="182"/>
      <c r="P688" s="182"/>
      <c r="Q688" s="182"/>
    </row>
    <row r="689" spans="1:17" ht="15.75" customHeight="1" x14ac:dyDescent="0.25">
      <c r="A689" s="182"/>
      <c r="B689" s="182"/>
      <c r="C689" s="182"/>
      <c r="D689" s="182"/>
      <c r="E689" s="182"/>
      <c r="F689" s="182"/>
      <c r="G689" s="182"/>
      <c r="H689" s="182"/>
      <c r="I689" s="182"/>
      <c r="J689" s="182"/>
      <c r="K689" s="182"/>
      <c r="L689" s="182"/>
      <c r="M689" s="182"/>
      <c r="N689" s="182"/>
      <c r="O689" s="182"/>
      <c r="P689" s="182"/>
      <c r="Q689" s="182"/>
    </row>
    <row r="690" spans="1:17" ht="15.75" customHeight="1" x14ac:dyDescent="0.25">
      <c r="A690" s="182"/>
      <c r="B690" s="182"/>
      <c r="C690" s="182"/>
      <c r="D690" s="182"/>
      <c r="E690" s="182"/>
      <c r="F690" s="182"/>
      <c r="G690" s="182"/>
      <c r="H690" s="182"/>
      <c r="I690" s="182"/>
      <c r="J690" s="182"/>
      <c r="K690" s="182"/>
      <c r="L690" s="182"/>
      <c r="M690" s="182"/>
      <c r="N690" s="182"/>
      <c r="O690" s="182"/>
      <c r="P690" s="182"/>
      <c r="Q690" s="182"/>
    </row>
    <row r="691" spans="1:17" ht="15.75" customHeight="1" x14ac:dyDescent="0.25">
      <c r="A691" s="182"/>
      <c r="B691" s="182"/>
      <c r="C691" s="182"/>
      <c r="D691" s="182"/>
      <c r="E691" s="182"/>
      <c r="F691" s="182"/>
      <c r="G691" s="182"/>
      <c r="H691" s="182"/>
      <c r="I691" s="182"/>
      <c r="J691" s="182"/>
      <c r="K691" s="182"/>
      <c r="L691" s="182"/>
      <c r="M691" s="182"/>
      <c r="N691" s="182"/>
      <c r="O691" s="182"/>
      <c r="P691" s="182"/>
      <c r="Q691" s="182"/>
    </row>
    <row r="692" spans="1:17" ht="15.75" customHeight="1" x14ac:dyDescent="0.25">
      <c r="A692" s="182"/>
      <c r="B692" s="182"/>
      <c r="C692" s="182"/>
      <c r="D692" s="182"/>
      <c r="E692" s="182"/>
      <c r="F692" s="182"/>
      <c r="G692" s="182"/>
      <c r="H692" s="182"/>
      <c r="I692" s="182"/>
      <c r="J692" s="182"/>
      <c r="K692" s="182"/>
      <c r="L692" s="182"/>
      <c r="M692" s="182"/>
      <c r="N692" s="182"/>
      <c r="O692" s="182"/>
      <c r="P692" s="182"/>
      <c r="Q692" s="182"/>
    </row>
    <row r="693" spans="1:17" ht="15.75" customHeight="1" x14ac:dyDescent="0.25">
      <c r="A693" s="182"/>
      <c r="B693" s="182"/>
      <c r="C693" s="182"/>
      <c r="D693" s="182"/>
      <c r="E693" s="182"/>
      <c r="F693" s="182"/>
      <c r="G693" s="182"/>
      <c r="H693" s="182"/>
      <c r="I693" s="182"/>
      <c r="J693" s="182"/>
      <c r="K693" s="182"/>
      <c r="L693" s="182"/>
      <c r="M693" s="182"/>
      <c r="N693" s="182"/>
      <c r="O693" s="182"/>
      <c r="P693" s="182"/>
      <c r="Q693" s="182"/>
    </row>
    <row r="694" spans="1:17" ht="15.75" customHeight="1" x14ac:dyDescent="0.25">
      <c r="A694" s="182"/>
      <c r="B694" s="182"/>
      <c r="C694" s="182"/>
      <c r="D694" s="182"/>
      <c r="E694" s="182"/>
      <c r="F694" s="182"/>
      <c r="G694" s="182"/>
      <c r="H694" s="182"/>
      <c r="I694" s="182"/>
      <c r="J694" s="182"/>
      <c r="K694" s="182"/>
      <c r="L694" s="182"/>
      <c r="M694" s="182"/>
      <c r="N694" s="182"/>
      <c r="O694" s="182"/>
      <c r="P694" s="182"/>
      <c r="Q694" s="182"/>
    </row>
    <row r="695" spans="1:17" ht="15.75" customHeight="1" x14ac:dyDescent="0.25">
      <c r="A695" s="182"/>
      <c r="B695" s="182"/>
      <c r="C695" s="182"/>
      <c r="D695" s="182"/>
      <c r="E695" s="182"/>
      <c r="F695" s="182"/>
      <c r="G695" s="182"/>
      <c r="H695" s="182"/>
      <c r="I695" s="182"/>
      <c r="J695" s="182"/>
      <c r="K695" s="182"/>
      <c r="L695" s="182"/>
      <c r="M695" s="182"/>
      <c r="N695" s="182"/>
      <c r="O695" s="182"/>
      <c r="P695" s="182"/>
      <c r="Q695" s="182"/>
    </row>
    <row r="696" spans="1:17" ht="15.75" customHeight="1" x14ac:dyDescent="0.25">
      <c r="A696" s="182"/>
      <c r="B696" s="182"/>
      <c r="C696" s="182"/>
      <c r="D696" s="182"/>
      <c r="E696" s="182"/>
      <c r="F696" s="182"/>
      <c r="G696" s="182"/>
      <c r="H696" s="182"/>
      <c r="I696" s="182"/>
      <c r="J696" s="182"/>
      <c r="K696" s="182"/>
      <c r="L696" s="182"/>
      <c r="M696" s="182"/>
      <c r="N696" s="182"/>
      <c r="O696" s="182"/>
      <c r="P696" s="182"/>
      <c r="Q696" s="182"/>
    </row>
    <row r="697" spans="1:17" ht="15.75" customHeight="1" x14ac:dyDescent="0.25">
      <c r="A697" s="182"/>
      <c r="B697" s="182"/>
      <c r="C697" s="182"/>
      <c r="D697" s="182"/>
      <c r="E697" s="182"/>
      <c r="F697" s="182"/>
      <c r="G697" s="182"/>
      <c r="H697" s="182"/>
      <c r="I697" s="182"/>
      <c r="J697" s="182"/>
      <c r="K697" s="182"/>
      <c r="L697" s="182"/>
      <c r="M697" s="182"/>
      <c r="N697" s="182"/>
      <c r="O697" s="182"/>
      <c r="P697" s="182"/>
      <c r="Q697" s="182"/>
    </row>
    <row r="698" spans="1:17" ht="15.75" customHeight="1" x14ac:dyDescent="0.25">
      <c r="A698" s="182"/>
      <c r="B698" s="182"/>
      <c r="C698" s="182"/>
      <c r="D698" s="182"/>
      <c r="E698" s="182"/>
      <c r="F698" s="182"/>
      <c r="G698" s="182"/>
      <c r="H698" s="182"/>
      <c r="I698" s="182"/>
      <c r="J698" s="182"/>
      <c r="K698" s="182"/>
      <c r="L698" s="182"/>
      <c r="M698" s="182"/>
      <c r="N698" s="182"/>
      <c r="O698" s="182"/>
      <c r="P698" s="182"/>
      <c r="Q698" s="182"/>
    </row>
    <row r="699" spans="1:17" ht="15.75" customHeight="1" x14ac:dyDescent="0.25">
      <c r="A699" s="182"/>
      <c r="B699" s="182"/>
      <c r="C699" s="182"/>
      <c r="D699" s="182"/>
      <c r="E699" s="182"/>
      <c r="F699" s="182"/>
      <c r="G699" s="182"/>
      <c r="H699" s="182"/>
      <c r="I699" s="182"/>
      <c r="J699" s="182"/>
      <c r="K699" s="182"/>
      <c r="L699" s="182"/>
      <c r="M699" s="182"/>
      <c r="N699" s="182"/>
      <c r="O699" s="182"/>
      <c r="P699" s="182"/>
      <c r="Q699" s="182"/>
    </row>
    <row r="700" spans="1:17" ht="15.75" customHeight="1" x14ac:dyDescent="0.25">
      <c r="A700" s="182"/>
      <c r="B700" s="182"/>
      <c r="C700" s="182"/>
      <c r="D700" s="182"/>
      <c r="E700" s="182"/>
      <c r="F700" s="182"/>
      <c r="G700" s="182"/>
      <c r="H700" s="182"/>
      <c r="I700" s="182"/>
      <c r="J700" s="182"/>
      <c r="K700" s="182"/>
      <c r="L700" s="182"/>
      <c r="M700" s="182"/>
      <c r="N700" s="182"/>
      <c r="O700" s="182"/>
      <c r="P700" s="182"/>
      <c r="Q700" s="182"/>
    </row>
    <row r="701" spans="1:17" ht="15.75" customHeight="1" x14ac:dyDescent="0.25">
      <c r="A701" s="182"/>
      <c r="B701" s="182"/>
      <c r="C701" s="182"/>
      <c r="D701" s="182"/>
      <c r="E701" s="182"/>
      <c r="F701" s="182"/>
      <c r="G701" s="182"/>
      <c r="H701" s="182"/>
      <c r="I701" s="182"/>
      <c r="J701" s="182"/>
      <c r="K701" s="182"/>
      <c r="L701" s="182"/>
      <c r="M701" s="182"/>
      <c r="N701" s="182"/>
      <c r="O701" s="182"/>
      <c r="P701" s="182"/>
      <c r="Q701" s="182"/>
    </row>
    <row r="702" spans="1:17" ht="15.75" customHeight="1" x14ac:dyDescent="0.25">
      <c r="A702" s="182"/>
      <c r="B702" s="182"/>
      <c r="C702" s="182"/>
      <c r="D702" s="182"/>
      <c r="E702" s="182"/>
      <c r="F702" s="182"/>
      <c r="G702" s="182"/>
      <c r="H702" s="182"/>
      <c r="I702" s="182"/>
      <c r="J702" s="182"/>
      <c r="K702" s="182"/>
      <c r="L702" s="182"/>
      <c r="M702" s="182"/>
      <c r="N702" s="182"/>
      <c r="O702" s="182"/>
      <c r="P702" s="182"/>
      <c r="Q702" s="182"/>
    </row>
    <row r="703" spans="1:17" ht="15.75" customHeight="1" x14ac:dyDescent="0.25">
      <c r="A703" s="182"/>
      <c r="B703" s="182"/>
      <c r="C703" s="182"/>
      <c r="D703" s="182"/>
      <c r="E703" s="182"/>
      <c r="F703" s="182"/>
      <c r="G703" s="182"/>
      <c r="H703" s="182"/>
      <c r="I703" s="182"/>
      <c r="J703" s="182"/>
      <c r="K703" s="182"/>
      <c r="L703" s="182"/>
      <c r="M703" s="182"/>
      <c r="N703" s="182"/>
      <c r="O703" s="182"/>
      <c r="P703" s="182"/>
      <c r="Q703" s="182"/>
    </row>
    <row r="704" spans="1:17" ht="15.75" customHeight="1" x14ac:dyDescent="0.25">
      <c r="A704" s="182"/>
      <c r="B704" s="182"/>
      <c r="C704" s="182"/>
      <c r="D704" s="182"/>
      <c r="E704" s="182"/>
      <c r="F704" s="182"/>
      <c r="G704" s="182"/>
      <c r="H704" s="182"/>
      <c r="I704" s="182"/>
      <c r="J704" s="182"/>
      <c r="K704" s="182"/>
      <c r="L704" s="182"/>
      <c r="M704" s="182"/>
      <c r="N704" s="182"/>
      <c r="O704" s="182"/>
      <c r="P704" s="182"/>
      <c r="Q704" s="182"/>
    </row>
    <row r="705" spans="1:17" ht="15.75" customHeight="1" x14ac:dyDescent="0.25">
      <c r="A705" s="182"/>
      <c r="B705" s="182"/>
      <c r="C705" s="182"/>
      <c r="D705" s="182"/>
      <c r="E705" s="182"/>
      <c r="F705" s="182"/>
      <c r="G705" s="182"/>
      <c r="H705" s="182"/>
      <c r="I705" s="182"/>
      <c r="J705" s="182"/>
      <c r="K705" s="182"/>
      <c r="L705" s="182"/>
      <c r="M705" s="182"/>
      <c r="N705" s="182"/>
      <c r="O705" s="182"/>
      <c r="P705" s="182"/>
      <c r="Q705" s="182"/>
    </row>
    <row r="706" spans="1:17" ht="15.75" customHeight="1" x14ac:dyDescent="0.25">
      <c r="A706" s="182"/>
      <c r="B706" s="182"/>
      <c r="C706" s="182"/>
      <c r="D706" s="182"/>
      <c r="E706" s="182"/>
      <c r="F706" s="182"/>
      <c r="G706" s="182"/>
      <c r="H706" s="182"/>
      <c r="I706" s="182"/>
      <c r="J706" s="182"/>
      <c r="K706" s="182"/>
      <c r="L706" s="182"/>
      <c r="M706" s="182"/>
      <c r="N706" s="182"/>
      <c r="O706" s="182"/>
      <c r="P706" s="182"/>
      <c r="Q706" s="182"/>
    </row>
    <row r="707" spans="1:17" ht="15.75" customHeight="1" x14ac:dyDescent="0.25">
      <c r="A707" s="182"/>
      <c r="B707" s="182"/>
      <c r="C707" s="182"/>
      <c r="D707" s="182"/>
      <c r="E707" s="182"/>
      <c r="F707" s="182"/>
      <c r="G707" s="182"/>
      <c r="H707" s="182"/>
      <c r="I707" s="182"/>
      <c r="J707" s="182"/>
      <c r="K707" s="182"/>
      <c r="L707" s="182"/>
      <c r="M707" s="182"/>
      <c r="N707" s="182"/>
      <c r="O707" s="182"/>
      <c r="P707" s="182"/>
      <c r="Q707" s="182"/>
    </row>
    <row r="708" spans="1:17" ht="15.75" customHeight="1" x14ac:dyDescent="0.25">
      <c r="A708" s="182"/>
      <c r="B708" s="182"/>
      <c r="C708" s="182"/>
      <c r="D708" s="182"/>
      <c r="E708" s="182"/>
      <c r="F708" s="182"/>
      <c r="G708" s="182"/>
      <c r="H708" s="182"/>
      <c r="I708" s="182"/>
      <c r="J708" s="182"/>
      <c r="K708" s="182"/>
      <c r="L708" s="182"/>
      <c r="M708" s="182"/>
      <c r="N708" s="182"/>
      <c r="O708" s="182"/>
      <c r="P708" s="182"/>
      <c r="Q708" s="182"/>
    </row>
    <row r="709" spans="1:17" ht="15.75" customHeight="1" x14ac:dyDescent="0.25">
      <c r="A709" s="182"/>
      <c r="B709" s="182"/>
      <c r="C709" s="182"/>
      <c r="D709" s="182"/>
      <c r="E709" s="182"/>
      <c r="F709" s="182"/>
      <c r="G709" s="182"/>
      <c r="H709" s="182"/>
      <c r="I709" s="182"/>
      <c r="J709" s="182"/>
      <c r="K709" s="182"/>
      <c r="L709" s="182"/>
      <c r="M709" s="182"/>
      <c r="N709" s="182"/>
      <c r="O709" s="182"/>
      <c r="P709" s="182"/>
      <c r="Q709" s="182"/>
    </row>
    <row r="710" spans="1:17" ht="15.75" customHeight="1" x14ac:dyDescent="0.25">
      <c r="A710" s="182"/>
      <c r="B710" s="182"/>
      <c r="C710" s="182"/>
      <c r="D710" s="182"/>
      <c r="E710" s="182"/>
      <c r="F710" s="182"/>
      <c r="G710" s="182"/>
      <c r="H710" s="182"/>
      <c r="I710" s="182"/>
      <c r="J710" s="182"/>
      <c r="K710" s="182"/>
      <c r="L710" s="182"/>
      <c r="M710" s="182"/>
      <c r="N710" s="182"/>
      <c r="O710" s="182"/>
      <c r="P710" s="182"/>
      <c r="Q710" s="182"/>
    </row>
    <row r="711" spans="1:17" ht="15.75" customHeight="1" x14ac:dyDescent="0.25">
      <c r="A711" s="182"/>
      <c r="B711" s="182"/>
      <c r="C711" s="182"/>
      <c r="D711" s="182"/>
      <c r="E711" s="182"/>
      <c r="F711" s="182"/>
      <c r="G711" s="182"/>
      <c r="H711" s="182"/>
      <c r="I711" s="182"/>
      <c r="J711" s="182"/>
      <c r="K711" s="182"/>
      <c r="L711" s="182"/>
      <c r="M711" s="182"/>
      <c r="N711" s="182"/>
      <c r="O711" s="182"/>
      <c r="P711" s="182"/>
      <c r="Q711" s="182"/>
    </row>
    <row r="712" spans="1:17" ht="15.75" customHeight="1" x14ac:dyDescent="0.25">
      <c r="A712" s="182"/>
      <c r="B712" s="182"/>
      <c r="C712" s="182"/>
      <c r="D712" s="182"/>
      <c r="E712" s="182"/>
      <c r="F712" s="182"/>
      <c r="G712" s="182"/>
      <c r="H712" s="182"/>
      <c r="I712" s="182"/>
      <c r="J712" s="182"/>
      <c r="K712" s="182"/>
      <c r="L712" s="182"/>
      <c r="M712" s="182"/>
      <c r="N712" s="182"/>
      <c r="O712" s="182"/>
      <c r="P712" s="182"/>
      <c r="Q712" s="182"/>
    </row>
    <row r="713" spans="1:17" ht="15.75" customHeight="1" x14ac:dyDescent="0.25">
      <c r="A713" s="182"/>
      <c r="B713" s="182"/>
      <c r="C713" s="182"/>
      <c r="D713" s="182"/>
      <c r="E713" s="182"/>
      <c r="F713" s="182"/>
      <c r="G713" s="182"/>
      <c r="H713" s="182"/>
      <c r="I713" s="182"/>
      <c r="J713" s="182"/>
      <c r="K713" s="182"/>
      <c r="L713" s="182"/>
      <c r="M713" s="182"/>
      <c r="N713" s="182"/>
      <c r="O713" s="182"/>
      <c r="P713" s="182"/>
      <c r="Q713" s="182"/>
    </row>
    <row r="714" spans="1:17" ht="15.75" customHeight="1" x14ac:dyDescent="0.25">
      <c r="A714" s="182"/>
      <c r="B714" s="182"/>
      <c r="C714" s="182"/>
      <c r="D714" s="182"/>
      <c r="E714" s="182"/>
      <c r="F714" s="182"/>
      <c r="G714" s="182"/>
      <c r="H714" s="182"/>
      <c r="I714" s="182"/>
      <c r="J714" s="182"/>
      <c r="K714" s="182"/>
      <c r="L714" s="182"/>
      <c r="M714" s="182"/>
      <c r="N714" s="182"/>
      <c r="O714" s="182"/>
      <c r="P714" s="182"/>
      <c r="Q714" s="182"/>
    </row>
    <row r="715" spans="1:17" ht="15.75" customHeight="1" x14ac:dyDescent="0.25">
      <c r="A715" s="182"/>
      <c r="B715" s="182"/>
      <c r="C715" s="182"/>
      <c r="D715" s="182"/>
      <c r="E715" s="182"/>
      <c r="F715" s="182"/>
      <c r="G715" s="182"/>
      <c r="H715" s="182"/>
      <c r="I715" s="182"/>
      <c r="J715" s="182"/>
      <c r="K715" s="182"/>
      <c r="L715" s="182"/>
      <c r="M715" s="182"/>
      <c r="N715" s="182"/>
      <c r="O715" s="182"/>
      <c r="P715" s="182"/>
      <c r="Q715" s="182"/>
    </row>
    <row r="716" spans="1:17" ht="15.75" customHeight="1" x14ac:dyDescent="0.25">
      <c r="A716" s="182"/>
      <c r="B716" s="182"/>
      <c r="C716" s="182"/>
      <c r="D716" s="182"/>
      <c r="E716" s="182"/>
      <c r="F716" s="182"/>
      <c r="G716" s="182"/>
      <c r="H716" s="182"/>
      <c r="I716" s="182"/>
      <c r="J716" s="182"/>
      <c r="K716" s="182"/>
      <c r="L716" s="182"/>
      <c r="M716" s="182"/>
      <c r="N716" s="182"/>
      <c r="O716" s="182"/>
      <c r="P716" s="182"/>
      <c r="Q716" s="182"/>
    </row>
    <row r="717" spans="1:17" ht="15.75" customHeight="1" x14ac:dyDescent="0.25">
      <c r="A717" s="182"/>
      <c r="B717" s="182"/>
      <c r="C717" s="182"/>
      <c r="D717" s="182"/>
      <c r="E717" s="182"/>
      <c r="F717" s="182"/>
      <c r="G717" s="182"/>
      <c r="H717" s="182"/>
      <c r="I717" s="182"/>
      <c r="J717" s="182"/>
      <c r="K717" s="182"/>
      <c r="L717" s="182"/>
      <c r="M717" s="182"/>
      <c r="N717" s="182"/>
      <c r="O717" s="182"/>
      <c r="P717" s="182"/>
      <c r="Q717" s="182"/>
    </row>
    <row r="718" spans="1:17" ht="15.75" customHeight="1" x14ac:dyDescent="0.25">
      <c r="A718" s="182"/>
      <c r="B718" s="182"/>
      <c r="C718" s="182"/>
      <c r="D718" s="182"/>
      <c r="E718" s="182"/>
      <c r="F718" s="182"/>
      <c r="G718" s="182"/>
      <c r="H718" s="182"/>
      <c r="I718" s="182"/>
      <c r="J718" s="182"/>
      <c r="K718" s="182"/>
      <c r="L718" s="182"/>
      <c r="M718" s="182"/>
      <c r="N718" s="182"/>
      <c r="O718" s="182"/>
      <c r="P718" s="182"/>
      <c r="Q718" s="182"/>
    </row>
    <row r="719" spans="1:17" ht="15.75" customHeight="1" x14ac:dyDescent="0.25">
      <c r="A719" s="182"/>
      <c r="B719" s="182"/>
      <c r="C719" s="182"/>
      <c r="D719" s="182"/>
      <c r="E719" s="182"/>
      <c r="F719" s="182"/>
      <c r="G719" s="182"/>
      <c r="H719" s="182"/>
      <c r="I719" s="182"/>
      <c r="J719" s="182"/>
      <c r="K719" s="182"/>
      <c r="L719" s="182"/>
      <c r="M719" s="182"/>
      <c r="N719" s="182"/>
      <c r="O719" s="182"/>
      <c r="P719" s="182"/>
      <c r="Q719" s="182"/>
    </row>
    <row r="720" spans="1:17" ht="15.75" customHeight="1" x14ac:dyDescent="0.25">
      <c r="A720" s="182"/>
      <c r="B720" s="182"/>
      <c r="C720" s="182"/>
      <c r="D720" s="182"/>
      <c r="E720" s="182"/>
      <c r="F720" s="182"/>
      <c r="G720" s="182"/>
      <c r="H720" s="182"/>
      <c r="I720" s="182"/>
      <c r="J720" s="182"/>
      <c r="K720" s="182"/>
      <c r="L720" s="182"/>
      <c r="M720" s="182"/>
      <c r="N720" s="182"/>
      <c r="O720" s="182"/>
      <c r="P720" s="182"/>
      <c r="Q720" s="182"/>
    </row>
    <row r="721" spans="1:17" ht="15.75" customHeight="1" x14ac:dyDescent="0.25">
      <c r="A721" s="182"/>
      <c r="B721" s="182"/>
      <c r="C721" s="182"/>
      <c r="D721" s="182"/>
      <c r="E721" s="182"/>
      <c r="F721" s="182"/>
      <c r="G721" s="182"/>
      <c r="H721" s="182"/>
      <c r="I721" s="182"/>
      <c r="J721" s="182"/>
      <c r="K721" s="182"/>
      <c r="L721" s="182"/>
      <c r="M721" s="182"/>
      <c r="N721" s="182"/>
      <c r="O721" s="182"/>
      <c r="P721" s="182"/>
      <c r="Q721" s="182"/>
    </row>
    <row r="722" spans="1:17" ht="15.75" customHeight="1" x14ac:dyDescent="0.25">
      <c r="A722" s="182"/>
      <c r="B722" s="182"/>
      <c r="C722" s="182"/>
      <c r="D722" s="182"/>
      <c r="E722" s="182"/>
      <c r="F722" s="182"/>
      <c r="G722" s="182"/>
      <c r="H722" s="182"/>
      <c r="I722" s="182"/>
      <c r="J722" s="182"/>
      <c r="K722" s="182"/>
      <c r="L722" s="182"/>
      <c r="M722" s="182"/>
      <c r="N722" s="182"/>
      <c r="O722" s="182"/>
      <c r="P722" s="182"/>
      <c r="Q722" s="182"/>
    </row>
    <row r="723" spans="1:17" ht="15.75" customHeight="1" x14ac:dyDescent="0.25">
      <c r="A723" s="182"/>
      <c r="B723" s="182"/>
      <c r="C723" s="182"/>
      <c r="D723" s="182"/>
      <c r="E723" s="182"/>
      <c r="F723" s="182"/>
      <c r="G723" s="182"/>
      <c r="H723" s="182"/>
      <c r="I723" s="182"/>
      <c r="J723" s="182"/>
      <c r="K723" s="182"/>
      <c r="L723" s="182"/>
      <c r="M723" s="182"/>
      <c r="N723" s="182"/>
      <c r="O723" s="182"/>
      <c r="P723" s="182"/>
      <c r="Q723" s="182"/>
    </row>
    <row r="724" spans="1:17" ht="15.75" customHeight="1" x14ac:dyDescent="0.25">
      <c r="A724" s="182"/>
      <c r="B724" s="182"/>
      <c r="C724" s="182"/>
      <c r="D724" s="182"/>
      <c r="E724" s="182"/>
      <c r="F724" s="182"/>
      <c r="G724" s="182"/>
      <c r="H724" s="182"/>
      <c r="I724" s="182"/>
      <c r="J724" s="182"/>
      <c r="K724" s="182"/>
      <c r="L724" s="182"/>
      <c r="M724" s="182"/>
      <c r="N724" s="182"/>
      <c r="O724" s="182"/>
      <c r="P724" s="182"/>
      <c r="Q724" s="182"/>
    </row>
    <row r="725" spans="1:17" ht="15.75" customHeight="1" x14ac:dyDescent="0.25">
      <c r="A725" s="182"/>
      <c r="B725" s="182"/>
      <c r="C725" s="182"/>
      <c r="D725" s="182"/>
      <c r="E725" s="182"/>
      <c r="F725" s="182"/>
      <c r="G725" s="182"/>
      <c r="H725" s="182"/>
      <c r="I725" s="182"/>
      <c r="J725" s="182"/>
      <c r="K725" s="182"/>
      <c r="L725" s="182"/>
      <c r="M725" s="182"/>
      <c r="N725" s="182"/>
      <c r="O725" s="182"/>
      <c r="P725" s="182"/>
      <c r="Q725" s="182"/>
    </row>
    <row r="726" spans="1:17" ht="15.75" customHeight="1" x14ac:dyDescent="0.25">
      <c r="A726" s="182"/>
      <c r="B726" s="182"/>
      <c r="C726" s="182"/>
      <c r="D726" s="182"/>
      <c r="E726" s="182"/>
      <c r="F726" s="182"/>
      <c r="G726" s="182"/>
      <c r="H726" s="182"/>
      <c r="I726" s="182"/>
      <c r="J726" s="182"/>
      <c r="K726" s="182"/>
      <c r="L726" s="182"/>
      <c r="M726" s="182"/>
      <c r="N726" s="182"/>
      <c r="O726" s="182"/>
      <c r="P726" s="182"/>
      <c r="Q726" s="182"/>
    </row>
    <row r="727" spans="1:17" ht="15.75" customHeight="1" x14ac:dyDescent="0.25">
      <c r="A727" s="182"/>
      <c r="B727" s="182"/>
      <c r="C727" s="182"/>
      <c r="D727" s="182"/>
      <c r="E727" s="182"/>
      <c r="F727" s="182"/>
      <c r="G727" s="182"/>
      <c r="H727" s="182"/>
      <c r="I727" s="182"/>
      <c r="J727" s="182"/>
      <c r="K727" s="182"/>
      <c r="L727" s="182"/>
      <c r="M727" s="182"/>
      <c r="N727" s="182"/>
      <c r="O727" s="182"/>
      <c r="P727" s="182"/>
      <c r="Q727" s="182"/>
    </row>
    <row r="728" spans="1:17" ht="15.75" customHeight="1" x14ac:dyDescent="0.25">
      <c r="A728" s="182"/>
      <c r="B728" s="182"/>
      <c r="C728" s="182"/>
      <c r="D728" s="182"/>
      <c r="E728" s="182"/>
      <c r="F728" s="182"/>
      <c r="G728" s="182"/>
      <c r="H728" s="182"/>
      <c r="I728" s="182"/>
      <c r="J728" s="182"/>
      <c r="K728" s="182"/>
      <c r="L728" s="182"/>
      <c r="M728" s="182"/>
      <c r="N728" s="182"/>
      <c r="O728" s="182"/>
      <c r="P728" s="182"/>
      <c r="Q728" s="182"/>
    </row>
    <row r="729" spans="1:17" ht="15.75" customHeight="1" x14ac:dyDescent="0.25">
      <c r="A729" s="182"/>
      <c r="B729" s="182"/>
      <c r="C729" s="182"/>
      <c r="D729" s="182"/>
      <c r="E729" s="182"/>
      <c r="F729" s="182"/>
      <c r="G729" s="182"/>
      <c r="H729" s="182"/>
      <c r="I729" s="182"/>
      <c r="J729" s="182"/>
      <c r="K729" s="182"/>
      <c r="L729" s="182"/>
      <c r="M729" s="182"/>
      <c r="N729" s="182"/>
      <c r="O729" s="182"/>
      <c r="P729" s="182"/>
      <c r="Q729" s="182"/>
    </row>
    <row r="730" spans="1:17" ht="15.75" customHeight="1" x14ac:dyDescent="0.25">
      <c r="A730" s="182"/>
      <c r="B730" s="182"/>
      <c r="C730" s="182"/>
      <c r="D730" s="182"/>
      <c r="E730" s="182"/>
      <c r="F730" s="182"/>
      <c r="G730" s="182"/>
      <c r="H730" s="182"/>
      <c r="I730" s="182"/>
      <c r="J730" s="182"/>
      <c r="K730" s="182"/>
      <c r="L730" s="182"/>
      <c r="M730" s="182"/>
      <c r="N730" s="182"/>
      <c r="O730" s="182"/>
      <c r="P730" s="182"/>
      <c r="Q730" s="182"/>
    </row>
    <row r="731" spans="1:17" ht="15.75" customHeight="1" x14ac:dyDescent="0.25">
      <c r="A731" s="182"/>
      <c r="B731" s="182"/>
      <c r="C731" s="182"/>
      <c r="D731" s="182"/>
      <c r="E731" s="182"/>
      <c r="F731" s="182"/>
      <c r="G731" s="182"/>
      <c r="H731" s="182"/>
      <c r="I731" s="182"/>
      <c r="J731" s="182"/>
      <c r="K731" s="182"/>
      <c r="L731" s="182"/>
      <c r="M731" s="182"/>
      <c r="N731" s="182"/>
      <c r="O731" s="182"/>
      <c r="P731" s="182"/>
      <c r="Q731" s="182"/>
    </row>
    <row r="732" spans="1:17" ht="15.75" customHeight="1" x14ac:dyDescent="0.25">
      <c r="A732" s="182"/>
      <c r="B732" s="182"/>
      <c r="C732" s="182"/>
      <c r="D732" s="182"/>
      <c r="E732" s="182"/>
      <c r="F732" s="182"/>
      <c r="G732" s="182"/>
      <c r="H732" s="182"/>
      <c r="I732" s="182"/>
      <c r="J732" s="182"/>
      <c r="K732" s="182"/>
      <c r="L732" s="182"/>
      <c r="M732" s="182"/>
      <c r="N732" s="182"/>
      <c r="O732" s="182"/>
      <c r="P732" s="182"/>
      <c r="Q732" s="182"/>
    </row>
    <row r="733" spans="1:17" ht="15.75" customHeight="1" x14ac:dyDescent="0.25">
      <c r="A733" s="182"/>
      <c r="B733" s="182"/>
      <c r="C733" s="182"/>
      <c r="D733" s="182"/>
      <c r="E733" s="182"/>
      <c r="F733" s="182"/>
      <c r="G733" s="182"/>
      <c r="H733" s="182"/>
      <c r="I733" s="182"/>
      <c r="J733" s="182"/>
      <c r="K733" s="182"/>
      <c r="L733" s="182"/>
      <c r="M733" s="182"/>
      <c r="N733" s="182"/>
      <c r="O733" s="182"/>
      <c r="P733" s="182"/>
      <c r="Q733" s="182"/>
    </row>
    <row r="734" spans="1:17" ht="15.75" customHeight="1" x14ac:dyDescent="0.25">
      <c r="A734" s="182"/>
      <c r="B734" s="182"/>
      <c r="C734" s="182"/>
      <c r="D734" s="182"/>
      <c r="E734" s="182"/>
      <c r="F734" s="182"/>
      <c r="G734" s="182"/>
      <c r="H734" s="182"/>
      <c r="I734" s="182"/>
      <c r="J734" s="182"/>
      <c r="K734" s="182"/>
      <c r="L734" s="182"/>
      <c r="M734" s="182"/>
      <c r="N734" s="182"/>
      <c r="O734" s="182"/>
      <c r="P734" s="182"/>
      <c r="Q734" s="182"/>
    </row>
    <row r="735" spans="1:17" ht="15.75" customHeight="1" x14ac:dyDescent="0.25">
      <c r="A735" s="182"/>
      <c r="B735" s="182"/>
      <c r="C735" s="182"/>
      <c r="D735" s="182"/>
      <c r="E735" s="182"/>
      <c r="F735" s="182"/>
      <c r="G735" s="182"/>
      <c r="H735" s="182"/>
      <c r="I735" s="182"/>
      <c r="J735" s="182"/>
      <c r="K735" s="182"/>
      <c r="L735" s="182"/>
      <c r="M735" s="182"/>
      <c r="N735" s="182"/>
      <c r="O735" s="182"/>
      <c r="P735" s="182"/>
      <c r="Q735" s="182"/>
    </row>
    <row r="736" spans="1:17" ht="15.75" customHeight="1" x14ac:dyDescent="0.25">
      <c r="A736" s="182"/>
      <c r="B736" s="182"/>
      <c r="C736" s="182"/>
      <c r="D736" s="182"/>
      <c r="E736" s="182"/>
      <c r="F736" s="182"/>
      <c r="G736" s="182"/>
      <c r="H736" s="182"/>
      <c r="I736" s="182"/>
      <c r="J736" s="182"/>
      <c r="K736" s="182"/>
      <c r="L736" s="182"/>
      <c r="M736" s="182"/>
      <c r="N736" s="182"/>
      <c r="O736" s="182"/>
      <c r="P736" s="182"/>
      <c r="Q736" s="182"/>
    </row>
    <row r="737" spans="1:17" ht="15.75" customHeight="1" x14ac:dyDescent="0.25">
      <c r="A737" s="182"/>
      <c r="B737" s="182"/>
      <c r="C737" s="182"/>
      <c r="D737" s="182"/>
      <c r="E737" s="182"/>
      <c r="F737" s="182"/>
      <c r="G737" s="182"/>
      <c r="H737" s="182"/>
      <c r="I737" s="182"/>
      <c r="J737" s="182"/>
      <c r="K737" s="182"/>
      <c r="L737" s="182"/>
      <c r="M737" s="182"/>
      <c r="N737" s="182"/>
      <c r="O737" s="182"/>
      <c r="P737" s="182"/>
      <c r="Q737" s="182"/>
    </row>
    <row r="738" spans="1:17" ht="15.75" customHeight="1" x14ac:dyDescent="0.25">
      <c r="A738" s="182"/>
      <c r="B738" s="182"/>
      <c r="C738" s="182"/>
      <c r="D738" s="182"/>
      <c r="E738" s="182"/>
      <c r="F738" s="182"/>
      <c r="G738" s="182"/>
      <c r="H738" s="182"/>
      <c r="I738" s="182"/>
      <c r="J738" s="182"/>
      <c r="K738" s="182"/>
      <c r="L738" s="182"/>
      <c r="M738" s="182"/>
      <c r="N738" s="182"/>
      <c r="O738" s="182"/>
      <c r="P738" s="182"/>
      <c r="Q738" s="182"/>
    </row>
    <row r="739" spans="1:17" ht="15.75" customHeight="1" x14ac:dyDescent="0.25">
      <c r="A739" s="182"/>
      <c r="B739" s="182"/>
      <c r="C739" s="182"/>
      <c r="D739" s="182"/>
      <c r="E739" s="182"/>
      <c r="F739" s="182"/>
      <c r="G739" s="182"/>
      <c r="H739" s="182"/>
      <c r="I739" s="182"/>
      <c r="J739" s="182"/>
      <c r="K739" s="182"/>
      <c r="L739" s="182"/>
      <c r="M739" s="182"/>
      <c r="N739" s="182"/>
      <c r="O739" s="182"/>
      <c r="P739" s="182"/>
      <c r="Q739" s="182"/>
    </row>
    <row r="740" spans="1:17" ht="15.75" customHeight="1" x14ac:dyDescent="0.25">
      <c r="A740" s="182"/>
      <c r="B740" s="182"/>
      <c r="C740" s="182"/>
      <c r="D740" s="182"/>
      <c r="E740" s="182"/>
      <c r="F740" s="182"/>
      <c r="G740" s="182"/>
      <c r="H740" s="182"/>
      <c r="I740" s="182"/>
      <c r="J740" s="182"/>
      <c r="K740" s="182"/>
      <c r="L740" s="182"/>
      <c r="M740" s="182"/>
      <c r="N740" s="182"/>
      <c r="O740" s="182"/>
      <c r="P740" s="182"/>
      <c r="Q740" s="182"/>
    </row>
    <row r="741" spans="1:17" ht="15.75" customHeight="1" x14ac:dyDescent="0.25">
      <c r="A741" s="182"/>
      <c r="B741" s="182"/>
      <c r="C741" s="182"/>
      <c r="D741" s="182"/>
      <c r="E741" s="182"/>
      <c r="F741" s="182"/>
      <c r="G741" s="182"/>
      <c r="H741" s="182"/>
      <c r="I741" s="182"/>
      <c r="J741" s="182"/>
      <c r="K741" s="182"/>
      <c r="L741" s="182"/>
      <c r="M741" s="182"/>
      <c r="N741" s="182"/>
      <c r="O741" s="182"/>
      <c r="P741" s="182"/>
      <c r="Q741" s="182"/>
    </row>
    <row r="742" spans="1:17" ht="15.75" customHeight="1" x14ac:dyDescent="0.25">
      <c r="A742" s="182"/>
      <c r="B742" s="182"/>
      <c r="C742" s="182"/>
      <c r="D742" s="182"/>
      <c r="E742" s="182"/>
      <c r="F742" s="182"/>
      <c r="G742" s="182"/>
      <c r="H742" s="182"/>
      <c r="I742" s="182"/>
      <c r="J742" s="182"/>
      <c r="K742" s="182"/>
      <c r="L742" s="182"/>
      <c r="M742" s="182"/>
      <c r="N742" s="182"/>
      <c r="O742" s="182"/>
      <c r="P742" s="182"/>
      <c r="Q742" s="182"/>
    </row>
    <row r="743" spans="1:17" ht="15.75" customHeight="1" x14ac:dyDescent="0.25">
      <c r="A743" s="182"/>
      <c r="B743" s="182"/>
      <c r="C743" s="182"/>
      <c r="D743" s="182"/>
      <c r="E743" s="182"/>
      <c r="F743" s="182"/>
      <c r="G743" s="182"/>
      <c r="H743" s="182"/>
      <c r="I743" s="182"/>
      <c r="J743" s="182"/>
      <c r="K743" s="182"/>
      <c r="L743" s="182"/>
      <c r="M743" s="182"/>
      <c r="N743" s="182"/>
      <c r="O743" s="182"/>
      <c r="P743" s="182"/>
      <c r="Q743" s="182"/>
    </row>
    <row r="744" spans="1:17" ht="15.75" customHeight="1" x14ac:dyDescent="0.25">
      <c r="A744" s="182"/>
      <c r="B744" s="182"/>
      <c r="C744" s="182"/>
      <c r="D744" s="182"/>
      <c r="E744" s="182"/>
      <c r="F744" s="182"/>
      <c r="G744" s="182"/>
      <c r="H744" s="182"/>
      <c r="I744" s="182"/>
      <c r="J744" s="182"/>
      <c r="K744" s="182"/>
      <c r="L744" s="182"/>
      <c r="M744" s="182"/>
      <c r="N744" s="182"/>
      <c r="O744" s="182"/>
      <c r="P744" s="182"/>
      <c r="Q744" s="182"/>
    </row>
    <row r="745" spans="1:17" ht="15.75" customHeight="1" x14ac:dyDescent="0.25">
      <c r="A745" s="182"/>
      <c r="B745" s="182"/>
      <c r="C745" s="182"/>
      <c r="D745" s="182"/>
      <c r="E745" s="182"/>
      <c r="F745" s="182"/>
      <c r="G745" s="182"/>
      <c r="H745" s="182"/>
      <c r="I745" s="182"/>
      <c r="J745" s="182"/>
      <c r="K745" s="182"/>
      <c r="L745" s="182"/>
      <c r="M745" s="182"/>
      <c r="N745" s="182"/>
      <c r="O745" s="182"/>
      <c r="P745" s="182"/>
      <c r="Q745" s="182"/>
    </row>
    <row r="746" spans="1:17" ht="15.75" customHeight="1" x14ac:dyDescent="0.25">
      <c r="A746" s="182"/>
      <c r="B746" s="182"/>
      <c r="C746" s="182"/>
      <c r="D746" s="182"/>
      <c r="E746" s="182"/>
      <c r="F746" s="182"/>
      <c r="G746" s="182"/>
      <c r="H746" s="182"/>
      <c r="I746" s="182"/>
      <c r="J746" s="182"/>
      <c r="K746" s="182"/>
      <c r="L746" s="182"/>
      <c r="M746" s="182"/>
      <c r="N746" s="182"/>
      <c r="O746" s="182"/>
      <c r="P746" s="182"/>
      <c r="Q746" s="182"/>
    </row>
    <row r="747" spans="1:17" ht="15.75" customHeight="1" x14ac:dyDescent="0.25">
      <c r="A747" s="182"/>
      <c r="B747" s="182"/>
      <c r="C747" s="182"/>
      <c r="D747" s="182"/>
      <c r="E747" s="182"/>
      <c r="F747" s="182"/>
      <c r="G747" s="182"/>
      <c r="H747" s="182"/>
      <c r="I747" s="182"/>
      <c r="J747" s="182"/>
      <c r="K747" s="182"/>
      <c r="L747" s="182"/>
      <c r="M747" s="182"/>
      <c r="N747" s="182"/>
      <c r="O747" s="182"/>
      <c r="P747" s="182"/>
      <c r="Q747" s="182"/>
    </row>
    <row r="748" spans="1:17" ht="15.75" customHeight="1" x14ac:dyDescent="0.25">
      <c r="A748" s="182"/>
      <c r="B748" s="182"/>
      <c r="C748" s="182"/>
      <c r="D748" s="182"/>
      <c r="E748" s="182"/>
      <c r="F748" s="182"/>
      <c r="G748" s="182"/>
      <c r="H748" s="182"/>
      <c r="I748" s="182"/>
      <c r="J748" s="182"/>
      <c r="K748" s="182"/>
      <c r="L748" s="182"/>
      <c r="M748" s="182"/>
      <c r="N748" s="182"/>
      <c r="O748" s="182"/>
      <c r="P748" s="182"/>
      <c r="Q748" s="182"/>
    </row>
    <row r="749" spans="1:17" ht="15.75" customHeight="1" x14ac:dyDescent="0.25">
      <c r="A749" s="182"/>
      <c r="B749" s="182"/>
      <c r="C749" s="182"/>
      <c r="D749" s="182"/>
      <c r="E749" s="182"/>
      <c r="F749" s="182"/>
      <c r="G749" s="182"/>
      <c r="H749" s="182"/>
      <c r="I749" s="182"/>
      <c r="J749" s="182"/>
      <c r="K749" s="182"/>
      <c r="L749" s="182"/>
      <c r="M749" s="182"/>
      <c r="N749" s="182"/>
      <c r="O749" s="182"/>
      <c r="P749" s="182"/>
      <c r="Q749" s="182"/>
    </row>
    <row r="750" spans="1:17" ht="15.75" customHeight="1" x14ac:dyDescent="0.25">
      <c r="A750" s="182"/>
      <c r="B750" s="182"/>
      <c r="C750" s="182"/>
      <c r="D750" s="182"/>
      <c r="E750" s="182"/>
      <c r="F750" s="182"/>
      <c r="G750" s="182"/>
      <c r="H750" s="182"/>
      <c r="I750" s="182"/>
      <c r="J750" s="182"/>
      <c r="K750" s="182"/>
      <c r="L750" s="182"/>
      <c r="M750" s="182"/>
      <c r="N750" s="182"/>
      <c r="O750" s="182"/>
      <c r="P750" s="182"/>
      <c r="Q750" s="182"/>
    </row>
    <row r="751" spans="1:17" ht="15.75" customHeight="1" x14ac:dyDescent="0.25">
      <c r="A751" s="182"/>
      <c r="B751" s="182"/>
      <c r="C751" s="182"/>
      <c r="D751" s="182"/>
      <c r="E751" s="182"/>
      <c r="F751" s="182"/>
      <c r="G751" s="182"/>
      <c r="H751" s="182"/>
      <c r="I751" s="182"/>
      <c r="J751" s="182"/>
      <c r="K751" s="182"/>
      <c r="L751" s="182"/>
      <c r="M751" s="182"/>
      <c r="N751" s="182"/>
      <c r="O751" s="182"/>
      <c r="P751" s="182"/>
      <c r="Q751" s="182"/>
    </row>
    <row r="752" spans="1:17" ht="15.75" customHeight="1" x14ac:dyDescent="0.25">
      <c r="A752" s="182"/>
      <c r="B752" s="182"/>
      <c r="C752" s="182"/>
      <c r="D752" s="182"/>
      <c r="E752" s="182"/>
      <c r="F752" s="182"/>
      <c r="G752" s="182"/>
      <c r="H752" s="182"/>
      <c r="I752" s="182"/>
      <c r="J752" s="182"/>
      <c r="K752" s="182"/>
      <c r="L752" s="182"/>
      <c r="M752" s="182"/>
      <c r="N752" s="182"/>
      <c r="O752" s="182"/>
      <c r="P752" s="182"/>
      <c r="Q752" s="182"/>
    </row>
    <row r="753" spans="1:17" ht="15.75" customHeight="1" x14ac:dyDescent="0.25">
      <c r="A753" s="182"/>
      <c r="B753" s="182"/>
      <c r="C753" s="182"/>
      <c r="D753" s="182"/>
      <c r="E753" s="182"/>
      <c r="F753" s="182"/>
      <c r="G753" s="182"/>
      <c r="H753" s="182"/>
      <c r="I753" s="182"/>
      <c r="J753" s="182"/>
      <c r="K753" s="182"/>
      <c r="L753" s="182"/>
      <c r="M753" s="182"/>
      <c r="N753" s="182"/>
      <c r="O753" s="182"/>
      <c r="P753" s="182"/>
      <c r="Q753" s="182"/>
    </row>
    <row r="754" spans="1:17" ht="15.75" customHeight="1" x14ac:dyDescent="0.25">
      <c r="A754" s="182"/>
      <c r="B754" s="182"/>
      <c r="C754" s="182"/>
      <c r="D754" s="182"/>
      <c r="E754" s="182"/>
      <c r="F754" s="182"/>
      <c r="G754" s="182"/>
      <c r="H754" s="182"/>
      <c r="I754" s="182"/>
      <c r="J754" s="182"/>
      <c r="K754" s="182"/>
      <c r="L754" s="182"/>
      <c r="M754" s="182"/>
      <c r="N754" s="182"/>
      <c r="O754" s="182"/>
      <c r="P754" s="182"/>
      <c r="Q754" s="182"/>
    </row>
    <row r="755" spans="1:17" ht="15.75" customHeight="1" x14ac:dyDescent="0.25">
      <c r="A755" s="182"/>
      <c r="B755" s="182"/>
      <c r="C755" s="182"/>
      <c r="D755" s="182"/>
      <c r="E755" s="182"/>
      <c r="F755" s="182"/>
      <c r="G755" s="182"/>
      <c r="H755" s="182"/>
      <c r="I755" s="182"/>
      <c r="J755" s="182"/>
      <c r="K755" s="182"/>
      <c r="L755" s="182"/>
      <c r="M755" s="182"/>
      <c r="N755" s="182"/>
      <c r="O755" s="182"/>
      <c r="P755" s="182"/>
      <c r="Q755" s="182"/>
    </row>
    <row r="756" spans="1:17" ht="15.75" customHeight="1" x14ac:dyDescent="0.25">
      <c r="A756" s="182"/>
      <c r="B756" s="182"/>
      <c r="C756" s="182"/>
      <c r="D756" s="182"/>
      <c r="E756" s="182"/>
      <c r="F756" s="182"/>
      <c r="G756" s="182"/>
      <c r="H756" s="182"/>
      <c r="I756" s="182"/>
      <c r="J756" s="182"/>
      <c r="K756" s="182"/>
      <c r="L756" s="182"/>
      <c r="M756" s="182"/>
      <c r="N756" s="182"/>
      <c r="O756" s="182"/>
      <c r="P756" s="182"/>
      <c r="Q756" s="182"/>
    </row>
    <row r="757" spans="1:17" ht="15.75" customHeight="1" x14ac:dyDescent="0.25">
      <c r="A757" s="182"/>
      <c r="B757" s="182"/>
      <c r="C757" s="182"/>
      <c r="D757" s="182"/>
      <c r="E757" s="182"/>
      <c r="F757" s="182"/>
      <c r="G757" s="182"/>
      <c r="H757" s="182"/>
      <c r="I757" s="182"/>
      <c r="J757" s="182"/>
      <c r="K757" s="182"/>
      <c r="L757" s="182"/>
      <c r="M757" s="182"/>
      <c r="N757" s="182"/>
      <c r="O757" s="182"/>
      <c r="P757" s="182"/>
      <c r="Q757" s="182"/>
    </row>
    <row r="758" spans="1:17" ht="15.75" customHeight="1" x14ac:dyDescent="0.25">
      <c r="A758" s="182"/>
      <c r="B758" s="182"/>
      <c r="C758" s="182"/>
      <c r="D758" s="182"/>
      <c r="E758" s="182"/>
      <c r="F758" s="182"/>
      <c r="G758" s="182"/>
      <c r="H758" s="182"/>
      <c r="I758" s="182"/>
      <c r="J758" s="182"/>
      <c r="K758" s="182"/>
      <c r="L758" s="182"/>
      <c r="M758" s="182"/>
      <c r="N758" s="182"/>
      <c r="O758" s="182"/>
      <c r="P758" s="182"/>
      <c r="Q758" s="182"/>
    </row>
    <row r="759" spans="1:17" ht="15.75" customHeight="1" x14ac:dyDescent="0.25">
      <c r="A759" s="182"/>
      <c r="B759" s="182"/>
      <c r="C759" s="182"/>
      <c r="D759" s="182"/>
      <c r="E759" s="182"/>
      <c r="F759" s="182"/>
      <c r="G759" s="182"/>
      <c r="H759" s="182"/>
      <c r="I759" s="182"/>
      <c r="J759" s="182"/>
      <c r="K759" s="182"/>
      <c r="L759" s="182"/>
      <c r="M759" s="182"/>
      <c r="N759" s="182"/>
      <c r="O759" s="182"/>
      <c r="P759" s="182"/>
      <c r="Q759" s="182"/>
    </row>
    <row r="760" spans="1:17" ht="15.75" customHeight="1" x14ac:dyDescent="0.25">
      <c r="A760" s="182"/>
      <c r="B760" s="182"/>
      <c r="C760" s="182"/>
      <c r="D760" s="182"/>
      <c r="E760" s="182"/>
      <c r="F760" s="182"/>
      <c r="G760" s="182"/>
      <c r="H760" s="182"/>
      <c r="I760" s="182"/>
      <c r="J760" s="182"/>
      <c r="K760" s="182"/>
      <c r="L760" s="182"/>
      <c r="M760" s="182"/>
      <c r="N760" s="182"/>
      <c r="O760" s="182"/>
      <c r="P760" s="182"/>
      <c r="Q760" s="182"/>
    </row>
    <row r="761" spans="1:17" ht="15.75" customHeight="1" x14ac:dyDescent="0.25">
      <c r="A761" s="182"/>
      <c r="B761" s="182"/>
      <c r="C761" s="182"/>
      <c r="D761" s="182"/>
      <c r="E761" s="182"/>
      <c r="F761" s="182"/>
      <c r="G761" s="182"/>
      <c r="H761" s="182"/>
      <c r="I761" s="182"/>
      <c r="J761" s="182"/>
      <c r="K761" s="182"/>
      <c r="L761" s="182"/>
      <c r="M761" s="182"/>
      <c r="N761" s="182"/>
      <c r="O761" s="182"/>
      <c r="P761" s="182"/>
      <c r="Q761" s="182"/>
    </row>
    <row r="762" spans="1:17" ht="15.75" customHeight="1" x14ac:dyDescent="0.25">
      <c r="A762" s="182"/>
      <c r="B762" s="182"/>
      <c r="C762" s="182"/>
      <c r="D762" s="182"/>
      <c r="E762" s="182"/>
      <c r="F762" s="182"/>
      <c r="G762" s="182"/>
      <c r="H762" s="182"/>
      <c r="I762" s="182"/>
      <c r="J762" s="182"/>
      <c r="K762" s="182"/>
      <c r="L762" s="182"/>
      <c r="M762" s="182"/>
      <c r="N762" s="182"/>
      <c r="O762" s="182"/>
      <c r="P762" s="182"/>
      <c r="Q762" s="182"/>
    </row>
    <row r="763" spans="1:17" ht="15.75" customHeight="1" x14ac:dyDescent="0.25">
      <c r="A763" s="182"/>
      <c r="B763" s="182"/>
      <c r="C763" s="182"/>
      <c r="D763" s="182"/>
      <c r="E763" s="182"/>
      <c r="F763" s="182"/>
      <c r="G763" s="182"/>
      <c r="H763" s="182"/>
      <c r="I763" s="182"/>
      <c r="J763" s="182"/>
      <c r="K763" s="182"/>
      <c r="L763" s="182"/>
      <c r="M763" s="182"/>
      <c r="N763" s="182"/>
      <c r="O763" s="182"/>
      <c r="P763" s="182"/>
      <c r="Q763" s="182"/>
    </row>
    <row r="764" spans="1:17" ht="15.75" customHeight="1" x14ac:dyDescent="0.25">
      <c r="A764" s="182"/>
      <c r="B764" s="182"/>
      <c r="C764" s="182"/>
      <c r="D764" s="182"/>
      <c r="E764" s="182"/>
      <c r="F764" s="182"/>
      <c r="G764" s="182"/>
      <c r="H764" s="182"/>
      <c r="I764" s="182"/>
      <c r="J764" s="182"/>
      <c r="K764" s="182"/>
      <c r="L764" s="182"/>
      <c r="M764" s="182"/>
      <c r="N764" s="182"/>
      <c r="O764" s="182"/>
      <c r="P764" s="182"/>
      <c r="Q764" s="182"/>
    </row>
    <row r="765" spans="1:17" ht="15.75" customHeight="1" x14ac:dyDescent="0.25">
      <c r="A765" s="182"/>
      <c r="B765" s="182"/>
      <c r="C765" s="182"/>
      <c r="D765" s="182"/>
      <c r="E765" s="182"/>
      <c r="F765" s="182"/>
      <c r="G765" s="182"/>
      <c r="H765" s="182"/>
      <c r="I765" s="182"/>
      <c r="J765" s="182"/>
      <c r="K765" s="182"/>
      <c r="L765" s="182"/>
      <c r="M765" s="182"/>
      <c r="N765" s="182"/>
      <c r="O765" s="182"/>
      <c r="P765" s="182"/>
      <c r="Q765" s="182"/>
    </row>
    <row r="766" spans="1:17" ht="15.75" customHeight="1" x14ac:dyDescent="0.25">
      <c r="A766" s="182"/>
      <c r="B766" s="182"/>
      <c r="C766" s="182"/>
      <c r="D766" s="182"/>
      <c r="E766" s="182"/>
      <c r="F766" s="182"/>
      <c r="G766" s="182"/>
      <c r="H766" s="182"/>
      <c r="I766" s="182"/>
      <c r="J766" s="182"/>
      <c r="K766" s="182"/>
      <c r="L766" s="182"/>
      <c r="M766" s="182"/>
      <c r="N766" s="182"/>
      <c r="O766" s="182"/>
      <c r="P766" s="182"/>
      <c r="Q766" s="182"/>
    </row>
    <row r="767" spans="1:17" ht="15.75" customHeight="1" x14ac:dyDescent="0.25">
      <c r="A767" s="182"/>
      <c r="B767" s="182"/>
      <c r="C767" s="182"/>
      <c r="D767" s="182"/>
      <c r="E767" s="182"/>
      <c r="F767" s="182"/>
      <c r="G767" s="182"/>
      <c r="H767" s="182"/>
      <c r="I767" s="182"/>
      <c r="J767" s="182"/>
      <c r="K767" s="182"/>
      <c r="L767" s="182"/>
      <c r="M767" s="182"/>
      <c r="N767" s="182"/>
      <c r="O767" s="182"/>
      <c r="P767" s="182"/>
      <c r="Q767" s="182"/>
    </row>
    <row r="768" spans="1:17" ht="15.75" customHeight="1" x14ac:dyDescent="0.25">
      <c r="A768" s="182"/>
      <c r="B768" s="182"/>
      <c r="C768" s="182"/>
      <c r="D768" s="182"/>
      <c r="E768" s="182"/>
      <c r="F768" s="182"/>
      <c r="G768" s="182"/>
      <c r="H768" s="182"/>
      <c r="I768" s="182"/>
      <c r="J768" s="182"/>
      <c r="K768" s="182"/>
      <c r="L768" s="182"/>
      <c r="M768" s="182"/>
      <c r="N768" s="182"/>
      <c r="O768" s="182"/>
      <c r="P768" s="182"/>
      <c r="Q768" s="182"/>
    </row>
    <row r="769" spans="1:17" ht="15.75" customHeight="1" x14ac:dyDescent="0.25">
      <c r="A769" s="182"/>
      <c r="B769" s="182"/>
      <c r="C769" s="182"/>
      <c r="D769" s="182"/>
      <c r="E769" s="182"/>
      <c r="F769" s="182"/>
      <c r="G769" s="182"/>
      <c r="H769" s="182"/>
      <c r="I769" s="182"/>
      <c r="J769" s="182"/>
      <c r="K769" s="182"/>
      <c r="L769" s="182"/>
      <c r="M769" s="182"/>
      <c r="N769" s="182"/>
      <c r="O769" s="182"/>
      <c r="P769" s="182"/>
      <c r="Q769" s="182"/>
    </row>
    <row r="770" spans="1:17" ht="15.75" customHeight="1" x14ac:dyDescent="0.25">
      <c r="A770" s="182"/>
      <c r="B770" s="182"/>
      <c r="C770" s="182"/>
      <c r="D770" s="182"/>
      <c r="E770" s="182"/>
      <c r="F770" s="182"/>
      <c r="G770" s="182"/>
      <c r="H770" s="182"/>
      <c r="I770" s="182"/>
      <c r="J770" s="182"/>
      <c r="K770" s="182"/>
      <c r="L770" s="182"/>
      <c r="M770" s="182"/>
      <c r="N770" s="182"/>
      <c r="O770" s="182"/>
      <c r="P770" s="182"/>
      <c r="Q770" s="182"/>
    </row>
    <row r="771" spans="1:17" ht="15.75" customHeight="1" x14ac:dyDescent="0.25">
      <c r="A771" s="182"/>
      <c r="B771" s="182"/>
      <c r="C771" s="182"/>
      <c r="D771" s="182"/>
      <c r="E771" s="182"/>
      <c r="F771" s="182"/>
      <c r="G771" s="182"/>
      <c r="H771" s="182"/>
      <c r="I771" s="182"/>
      <c r="J771" s="182"/>
      <c r="K771" s="182"/>
      <c r="L771" s="182"/>
      <c r="M771" s="182"/>
      <c r="N771" s="182"/>
      <c r="O771" s="182"/>
      <c r="P771" s="182"/>
      <c r="Q771" s="182"/>
    </row>
    <row r="772" spans="1:17" ht="15.75" customHeight="1" x14ac:dyDescent="0.25">
      <c r="A772" s="182"/>
      <c r="B772" s="182"/>
      <c r="C772" s="182"/>
      <c r="D772" s="182"/>
      <c r="E772" s="182"/>
      <c r="F772" s="182"/>
      <c r="G772" s="182"/>
      <c r="H772" s="182"/>
      <c r="I772" s="182"/>
      <c r="J772" s="182"/>
      <c r="K772" s="182"/>
      <c r="L772" s="182"/>
      <c r="M772" s="182"/>
      <c r="N772" s="182"/>
      <c r="O772" s="182"/>
      <c r="P772" s="182"/>
      <c r="Q772" s="182"/>
    </row>
    <row r="773" spans="1:17" ht="15.75" customHeight="1" x14ac:dyDescent="0.25">
      <c r="A773" s="182"/>
      <c r="B773" s="182"/>
      <c r="C773" s="182"/>
      <c r="D773" s="182"/>
      <c r="E773" s="182"/>
      <c r="F773" s="182"/>
      <c r="G773" s="182"/>
      <c r="H773" s="182"/>
      <c r="I773" s="182"/>
      <c r="J773" s="182"/>
      <c r="K773" s="182"/>
      <c r="L773" s="182"/>
      <c r="M773" s="182"/>
      <c r="N773" s="182"/>
      <c r="O773" s="182"/>
      <c r="P773" s="182"/>
      <c r="Q773" s="182"/>
    </row>
    <row r="774" spans="1:17" ht="15.75" customHeight="1" x14ac:dyDescent="0.25">
      <c r="A774" s="182"/>
      <c r="B774" s="182"/>
      <c r="C774" s="182"/>
      <c r="D774" s="182"/>
      <c r="E774" s="182"/>
      <c r="F774" s="182"/>
      <c r="G774" s="182"/>
      <c r="H774" s="182"/>
      <c r="I774" s="182"/>
      <c r="J774" s="182"/>
      <c r="K774" s="182"/>
      <c r="L774" s="182"/>
      <c r="M774" s="182"/>
      <c r="N774" s="182"/>
      <c r="O774" s="182"/>
      <c r="P774" s="182"/>
      <c r="Q774" s="182"/>
    </row>
    <row r="775" spans="1:17" ht="15.75" customHeight="1" x14ac:dyDescent="0.25">
      <c r="A775" s="182"/>
      <c r="B775" s="182"/>
      <c r="C775" s="182"/>
      <c r="D775" s="182"/>
      <c r="E775" s="182"/>
      <c r="F775" s="182"/>
      <c r="G775" s="182"/>
      <c r="H775" s="182"/>
      <c r="I775" s="182"/>
      <c r="J775" s="182"/>
      <c r="K775" s="182"/>
      <c r="L775" s="182"/>
      <c r="M775" s="182"/>
      <c r="N775" s="182"/>
      <c r="O775" s="182"/>
      <c r="P775" s="182"/>
      <c r="Q775" s="182"/>
    </row>
    <row r="776" spans="1:17" ht="15.75" customHeight="1" x14ac:dyDescent="0.25">
      <c r="A776" s="182"/>
      <c r="B776" s="182"/>
      <c r="C776" s="182"/>
      <c r="D776" s="182"/>
      <c r="E776" s="182"/>
      <c r="F776" s="182"/>
      <c r="G776" s="182"/>
      <c r="H776" s="182"/>
      <c r="I776" s="182"/>
      <c r="J776" s="182"/>
      <c r="K776" s="182"/>
      <c r="L776" s="182"/>
      <c r="M776" s="182"/>
      <c r="N776" s="182"/>
      <c r="O776" s="182"/>
      <c r="P776" s="182"/>
      <c r="Q776" s="182"/>
    </row>
    <row r="777" spans="1:17" ht="15.75" customHeight="1" x14ac:dyDescent="0.25">
      <c r="A777" s="182"/>
      <c r="B777" s="182"/>
      <c r="C777" s="182"/>
      <c r="D777" s="182"/>
      <c r="E777" s="182"/>
      <c r="F777" s="182"/>
      <c r="G777" s="182"/>
      <c r="H777" s="182"/>
      <c r="I777" s="182"/>
      <c r="J777" s="182"/>
      <c r="K777" s="182"/>
      <c r="L777" s="182"/>
      <c r="M777" s="182"/>
      <c r="N777" s="182"/>
      <c r="O777" s="182"/>
      <c r="P777" s="182"/>
      <c r="Q777" s="182"/>
    </row>
    <row r="778" spans="1:17" ht="15.75" customHeight="1" x14ac:dyDescent="0.25">
      <c r="A778" s="182"/>
      <c r="B778" s="182"/>
      <c r="C778" s="182"/>
      <c r="D778" s="182"/>
      <c r="E778" s="182"/>
      <c r="F778" s="182"/>
      <c r="G778" s="182"/>
      <c r="H778" s="182"/>
      <c r="I778" s="182"/>
      <c r="J778" s="182"/>
      <c r="K778" s="182"/>
      <c r="L778" s="182"/>
      <c r="M778" s="182"/>
      <c r="N778" s="182"/>
      <c r="O778" s="182"/>
      <c r="P778" s="182"/>
      <c r="Q778" s="182"/>
    </row>
    <row r="779" spans="1:17" ht="15.75" customHeight="1" x14ac:dyDescent="0.25">
      <c r="A779" s="182"/>
      <c r="B779" s="182"/>
      <c r="C779" s="182"/>
      <c r="D779" s="182"/>
      <c r="E779" s="182"/>
      <c r="F779" s="182"/>
      <c r="G779" s="182"/>
      <c r="H779" s="182"/>
      <c r="I779" s="182"/>
      <c r="J779" s="182"/>
      <c r="K779" s="182"/>
      <c r="L779" s="182"/>
      <c r="M779" s="182"/>
      <c r="N779" s="182"/>
      <c r="O779" s="182"/>
      <c r="P779" s="182"/>
      <c r="Q779" s="182"/>
    </row>
    <row r="780" spans="1:17" ht="15.75" customHeight="1" x14ac:dyDescent="0.25">
      <c r="A780" s="182"/>
      <c r="B780" s="182"/>
      <c r="C780" s="182"/>
      <c r="D780" s="182"/>
      <c r="E780" s="182"/>
      <c r="F780" s="182"/>
      <c r="G780" s="182"/>
      <c r="H780" s="182"/>
      <c r="I780" s="182"/>
      <c r="J780" s="182"/>
      <c r="K780" s="182"/>
      <c r="L780" s="182"/>
      <c r="M780" s="182"/>
      <c r="N780" s="182"/>
      <c r="O780" s="182"/>
      <c r="P780" s="182"/>
      <c r="Q780" s="182"/>
    </row>
    <row r="781" spans="1:17" ht="15.75" customHeight="1" x14ac:dyDescent="0.25">
      <c r="A781" s="182"/>
      <c r="B781" s="182"/>
      <c r="C781" s="182"/>
      <c r="D781" s="182"/>
      <c r="E781" s="182"/>
      <c r="F781" s="182"/>
      <c r="G781" s="182"/>
      <c r="H781" s="182"/>
      <c r="I781" s="182"/>
      <c r="J781" s="182"/>
      <c r="K781" s="182"/>
      <c r="L781" s="182"/>
      <c r="M781" s="182"/>
      <c r="N781" s="182"/>
      <c r="O781" s="182"/>
      <c r="P781" s="182"/>
      <c r="Q781" s="182"/>
    </row>
    <row r="782" spans="1:17" ht="15.75" customHeight="1" x14ac:dyDescent="0.25">
      <c r="A782" s="182"/>
      <c r="B782" s="182"/>
      <c r="C782" s="182"/>
      <c r="D782" s="182"/>
      <c r="E782" s="182"/>
      <c r="F782" s="182"/>
      <c r="G782" s="182"/>
      <c r="H782" s="182"/>
      <c r="I782" s="182"/>
      <c r="J782" s="182"/>
      <c r="K782" s="182"/>
      <c r="L782" s="182"/>
      <c r="M782" s="182"/>
      <c r="N782" s="182"/>
      <c r="O782" s="182"/>
      <c r="P782" s="182"/>
      <c r="Q782" s="182"/>
    </row>
    <row r="783" spans="1:17" ht="15.75" customHeight="1" x14ac:dyDescent="0.25">
      <c r="A783" s="182"/>
      <c r="B783" s="182"/>
      <c r="C783" s="182"/>
      <c r="D783" s="182"/>
      <c r="E783" s="182"/>
      <c r="F783" s="182"/>
      <c r="G783" s="182"/>
      <c r="H783" s="182"/>
      <c r="I783" s="182"/>
      <c r="J783" s="182"/>
      <c r="K783" s="182"/>
      <c r="L783" s="182"/>
      <c r="M783" s="182"/>
      <c r="N783" s="182"/>
      <c r="O783" s="182"/>
      <c r="P783" s="182"/>
      <c r="Q783" s="182"/>
    </row>
    <row r="784" spans="1:17" ht="15.75" customHeight="1" x14ac:dyDescent="0.25">
      <c r="A784" s="182"/>
      <c r="B784" s="182"/>
      <c r="C784" s="182"/>
      <c r="D784" s="182"/>
      <c r="E784" s="182"/>
      <c r="F784" s="182"/>
      <c r="G784" s="182"/>
      <c r="H784" s="182"/>
      <c r="I784" s="182"/>
      <c r="J784" s="182"/>
      <c r="K784" s="182"/>
      <c r="L784" s="182"/>
      <c r="M784" s="182"/>
      <c r="N784" s="182"/>
      <c r="O784" s="182"/>
      <c r="P784" s="182"/>
      <c r="Q784" s="182"/>
    </row>
    <row r="785" spans="1:17" ht="15.75" customHeight="1" x14ac:dyDescent="0.25">
      <c r="A785" s="182"/>
      <c r="B785" s="182"/>
      <c r="C785" s="182"/>
      <c r="D785" s="182"/>
      <c r="E785" s="182"/>
      <c r="F785" s="182"/>
      <c r="G785" s="182"/>
      <c r="H785" s="182"/>
      <c r="I785" s="182"/>
      <c r="J785" s="182"/>
      <c r="K785" s="182"/>
      <c r="L785" s="182"/>
      <c r="M785" s="182"/>
      <c r="N785" s="182"/>
      <c r="O785" s="182"/>
      <c r="P785" s="182"/>
      <c r="Q785" s="182"/>
    </row>
    <row r="786" spans="1:17" ht="15.75" customHeight="1" x14ac:dyDescent="0.25">
      <c r="A786" s="182"/>
      <c r="B786" s="182"/>
      <c r="C786" s="182"/>
      <c r="D786" s="182"/>
      <c r="E786" s="182"/>
      <c r="F786" s="182"/>
      <c r="G786" s="182"/>
      <c r="H786" s="182"/>
      <c r="I786" s="182"/>
      <c r="J786" s="182"/>
      <c r="K786" s="182"/>
      <c r="L786" s="182"/>
      <c r="M786" s="182"/>
      <c r="N786" s="182"/>
      <c r="O786" s="182"/>
      <c r="P786" s="182"/>
      <c r="Q786" s="182"/>
    </row>
    <row r="787" spans="1:17" ht="15.75" customHeight="1" x14ac:dyDescent="0.25">
      <c r="A787" s="182"/>
      <c r="B787" s="182"/>
      <c r="C787" s="182"/>
      <c r="D787" s="182"/>
      <c r="E787" s="182"/>
      <c r="F787" s="182"/>
      <c r="G787" s="182"/>
      <c r="H787" s="182"/>
      <c r="I787" s="182"/>
      <c r="J787" s="182"/>
      <c r="K787" s="182"/>
      <c r="L787" s="182"/>
      <c r="M787" s="182"/>
      <c r="N787" s="182"/>
      <c r="O787" s="182"/>
      <c r="P787" s="182"/>
      <c r="Q787" s="182"/>
    </row>
    <row r="788" spans="1:17" ht="15.75" customHeight="1" x14ac:dyDescent="0.25">
      <c r="A788" s="182"/>
      <c r="B788" s="182"/>
      <c r="C788" s="182"/>
      <c r="D788" s="182"/>
      <c r="E788" s="182"/>
      <c r="F788" s="182"/>
      <c r="G788" s="182"/>
      <c r="H788" s="182"/>
      <c r="I788" s="182"/>
      <c r="J788" s="182"/>
      <c r="K788" s="182"/>
      <c r="L788" s="182"/>
      <c r="M788" s="182"/>
      <c r="N788" s="182"/>
      <c r="O788" s="182"/>
      <c r="P788" s="182"/>
      <c r="Q788" s="182"/>
    </row>
    <row r="789" spans="1:17" ht="15.75" customHeight="1" x14ac:dyDescent="0.25">
      <c r="A789" s="182"/>
      <c r="B789" s="182"/>
      <c r="C789" s="182"/>
      <c r="D789" s="182"/>
      <c r="E789" s="182"/>
      <c r="F789" s="182"/>
      <c r="G789" s="182"/>
      <c r="H789" s="182"/>
      <c r="I789" s="182"/>
      <c r="J789" s="182"/>
      <c r="K789" s="182"/>
      <c r="L789" s="182"/>
      <c r="M789" s="182"/>
      <c r="N789" s="182"/>
      <c r="O789" s="182"/>
      <c r="P789" s="182"/>
      <c r="Q789" s="182"/>
    </row>
    <row r="790" spans="1:17" ht="15.75" customHeight="1" x14ac:dyDescent="0.25">
      <c r="A790" s="182"/>
      <c r="B790" s="182"/>
      <c r="C790" s="182"/>
      <c r="D790" s="182"/>
      <c r="E790" s="182"/>
      <c r="F790" s="182"/>
      <c r="G790" s="182"/>
      <c r="H790" s="182"/>
      <c r="I790" s="182"/>
      <c r="J790" s="182"/>
      <c r="K790" s="182"/>
      <c r="L790" s="182"/>
      <c r="M790" s="182"/>
      <c r="N790" s="182"/>
      <c r="O790" s="182"/>
      <c r="P790" s="182"/>
      <c r="Q790" s="182"/>
    </row>
    <row r="791" spans="1:17" ht="15.75" customHeight="1" x14ac:dyDescent="0.25">
      <c r="A791" s="182"/>
      <c r="B791" s="182"/>
      <c r="C791" s="182"/>
      <c r="D791" s="182"/>
      <c r="E791" s="182"/>
      <c r="F791" s="182"/>
      <c r="G791" s="182"/>
      <c r="H791" s="182"/>
      <c r="I791" s="182"/>
      <c r="J791" s="182"/>
      <c r="K791" s="182"/>
      <c r="L791" s="182"/>
      <c r="M791" s="182"/>
      <c r="N791" s="182"/>
      <c r="O791" s="182"/>
      <c r="P791" s="182"/>
      <c r="Q791" s="182"/>
    </row>
    <row r="792" spans="1:17" ht="15.75" customHeight="1" x14ac:dyDescent="0.25">
      <c r="A792" s="182"/>
      <c r="B792" s="182"/>
      <c r="C792" s="182"/>
      <c r="D792" s="182"/>
      <c r="E792" s="182"/>
      <c r="F792" s="182"/>
      <c r="G792" s="182"/>
      <c r="H792" s="182"/>
      <c r="I792" s="182"/>
      <c r="J792" s="182"/>
      <c r="K792" s="182"/>
      <c r="L792" s="182"/>
      <c r="M792" s="182"/>
      <c r="N792" s="182"/>
      <c r="O792" s="182"/>
      <c r="P792" s="182"/>
      <c r="Q792" s="182"/>
    </row>
    <row r="793" spans="1:17" ht="15.75" customHeight="1" x14ac:dyDescent="0.25">
      <c r="A793" s="182"/>
      <c r="B793" s="182"/>
      <c r="C793" s="182"/>
      <c r="D793" s="182"/>
      <c r="E793" s="182"/>
      <c r="F793" s="182"/>
      <c r="G793" s="182"/>
      <c r="H793" s="182"/>
      <c r="I793" s="182"/>
      <c r="J793" s="182"/>
      <c r="K793" s="182"/>
      <c r="L793" s="182"/>
      <c r="M793" s="182"/>
      <c r="N793" s="182"/>
      <c r="O793" s="182"/>
      <c r="P793" s="182"/>
      <c r="Q793" s="182"/>
    </row>
    <row r="794" spans="1:17" ht="15.75" customHeight="1" x14ac:dyDescent="0.25">
      <c r="A794" s="182"/>
      <c r="B794" s="182"/>
      <c r="C794" s="182"/>
      <c r="D794" s="182"/>
      <c r="E794" s="182"/>
      <c r="F794" s="182"/>
      <c r="G794" s="182"/>
      <c r="H794" s="182"/>
      <c r="I794" s="182"/>
      <c r="J794" s="182"/>
      <c r="K794" s="182"/>
      <c r="L794" s="182"/>
      <c r="M794" s="182"/>
      <c r="N794" s="182"/>
      <c r="O794" s="182"/>
      <c r="P794" s="182"/>
      <c r="Q794" s="182"/>
    </row>
    <row r="795" spans="1:17" ht="15.75" customHeight="1" x14ac:dyDescent="0.25">
      <c r="A795" s="182"/>
      <c r="B795" s="182"/>
      <c r="C795" s="182"/>
      <c r="D795" s="182"/>
      <c r="E795" s="182"/>
      <c r="F795" s="182"/>
      <c r="G795" s="182"/>
      <c r="H795" s="182"/>
      <c r="I795" s="182"/>
      <c r="J795" s="182"/>
      <c r="K795" s="182"/>
      <c r="L795" s="182"/>
      <c r="M795" s="182"/>
      <c r="N795" s="182"/>
      <c r="O795" s="182"/>
      <c r="P795" s="182"/>
      <c r="Q795" s="182"/>
    </row>
    <row r="796" spans="1:17" ht="15.75" customHeight="1" x14ac:dyDescent="0.25">
      <c r="A796" s="182"/>
      <c r="B796" s="182"/>
      <c r="C796" s="182"/>
      <c r="D796" s="182"/>
      <c r="E796" s="182"/>
      <c r="F796" s="182"/>
      <c r="G796" s="182"/>
      <c r="H796" s="182"/>
      <c r="I796" s="182"/>
      <c r="J796" s="182"/>
      <c r="K796" s="182"/>
      <c r="L796" s="182"/>
      <c r="M796" s="182"/>
      <c r="N796" s="182"/>
      <c r="O796" s="182"/>
      <c r="P796" s="182"/>
      <c r="Q796" s="182"/>
    </row>
    <row r="797" spans="1:17" ht="15.75" customHeight="1" x14ac:dyDescent="0.25">
      <c r="A797" s="182"/>
      <c r="B797" s="182"/>
      <c r="C797" s="182"/>
      <c r="D797" s="182"/>
      <c r="E797" s="182"/>
      <c r="F797" s="182"/>
      <c r="G797" s="182"/>
      <c r="H797" s="182"/>
      <c r="I797" s="182"/>
      <c r="J797" s="182"/>
      <c r="K797" s="182"/>
      <c r="L797" s="182"/>
      <c r="M797" s="182"/>
      <c r="N797" s="182"/>
      <c r="O797" s="182"/>
      <c r="P797" s="182"/>
      <c r="Q797" s="182"/>
    </row>
    <row r="798" spans="1:17" ht="15.75" customHeight="1" x14ac:dyDescent="0.25">
      <c r="A798" s="182"/>
      <c r="B798" s="182"/>
      <c r="C798" s="182"/>
      <c r="D798" s="182"/>
      <c r="E798" s="182"/>
      <c r="F798" s="182"/>
      <c r="G798" s="182"/>
      <c r="H798" s="182"/>
      <c r="I798" s="182"/>
      <c r="J798" s="182"/>
      <c r="K798" s="182"/>
      <c r="L798" s="182"/>
      <c r="M798" s="182"/>
      <c r="N798" s="182"/>
      <c r="O798" s="182"/>
      <c r="P798" s="182"/>
      <c r="Q798" s="182"/>
    </row>
    <row r="799" spans="1:17" ht="15.75" customHeight="1" x14ac:dyDescent="0.25">
      <c r="A799" s="182"/>
      <c r="B799" s="182"/>
      <c r="C799" s="182"/>
      <c r="D799" s="182"/>
      <c r="E799" s="182"/>
      <c r="F799" s="182"/>
      <c r="G799" s="182"/>
      <c r="H799" s="182"/>
      <c r="I799" s="182"/>
      <c r="J799" s="182"/>
      <c r="K799" s="182"/>
      <c r="L799" s="182"/>
      <c r="M799" s="182"/>
      <c r="N799" s="182"/>
      <c r="O799" s="182"/>
      <c r="P799" s="182"/>
      <c r="Q799" s="182"/>
    </row>
    <row r="800" spans="1:17" ht="15.75" customHeight="1" x14ac:dyDescent="0.25">
      <c r="A800" s="182"/>
      <c r="B800" s="182"/>
      <c r="C800" s="182"/>
      <c r="D800" s="182"/>
      <c r="E800" s="182"/>
      <c r="F800" s="182"/>
      <c r="G800" s="182"/>
      <c r="H800" s="182"/>
      <c r="I800" s="182"/>
      <c r="J800" s="182"/>
      <c r="K800" s="182"/>
      <c r="L800" s="182"/>
      <c r="M800" s="182"/>
      <c r="N800" s="182"/>
      <c r="O800" s="182"/>
      <c r="P800" s="182"/>
      <c r="Q800" s="182"/>
    </row>
    <row r="801" spans="1:17" ht="15.75" customHeight="1" x14ac:dyDescent="0.25">
      <c r="A801" s="182"/>
      <c r="B801" s="182"/>
      <c r="C801" s="182"/>
      <c r="D801" s="182"/>
      <c r="E801" s="182"/>
      <c r="F801" s="182"/>
      <c r="G801" s="182"/>
      <c r="H801" s="182"/>
      <c r="I801" s="182"/>
      <c r="J801" s="182"/>
      <c r="K801" s="182"/>
      <c r="L801" s="182"/>
      <c r="M801" s="182"/>
      <c r="N801" s="182"/>
      <c r="O801" s="182"/>
      <c r="P801" s="182"/>
      <c r="Q801" s="182"/>
    </row>
    <row r="802" spans="1:17" ht="15.75" customHeight="1" x14ac:dyDescent="0.25">
      <c r="A802" s="182"/>
      <c r="B802" s="182"/>
      <c r="C802" s="182"/>
      <c r="D802" s="182"/>
      <c r="E802" s="182"/>
      <c r="F802" s="182"/>
      <c r="G802" s="182"/>
      <c r="H802" s="182"/>
      <c r="I802" s="182"/>
      <c r="J802" s="182"/>
      <c r="K802" s="182"/>
      <c r="L802" s="182"/>
      <c r="M802" s="182"/>
      <c r="N802" s="182"/>
      <c r="O802" s="182"/>
      <c r="P802" s="182"/>
      <c r="Q802" s="182"/>
    </row>
    <row r="803" spans="1:17" ht="15.75" customHeight="1" x14ac:dyDescent="0.25">
      <c r="A803" s="182"/>
      <c r="B803" s="182"/>
      <c r="C803" s="182"/>
      <c r="D803" s="182"/>
      <c r="E803" s="182"/>
      <c r="F803" s="182"/>
      <c r="G803" s="182"/>
      <c r="H803" s="182"/>
      <c r="I803" s="182"/>
      <c r="J803" s="182"/>
      <c r="K803" s="182"/>
      <c r="L803" s="182"/>
      <c r="M803" s="182"/>
      <c r="N803" s="182"/>
      <c r="O803" s="182"/>
      <c r="P803" s="182"/>
      <c r="Q803" s="182"/>
    </row>
    <row r="804" spans="1:17" ht="15.75" customHeight="1" x14ac:dyDescent="0.25">
      <c r="A804" s="182"/>
      <c r="B804" s="182"/>
      <c r="C804" s="182"/>
      <c r="D804" s="182"/>
      <c r="E804" s="182"/>
      <c r="F804" s="182"/>
      <c r="G804" s="182"/>
      <c r="H804" s="182"/>
      <c r="I804" s="182"/>
      <c r="J804" s="182"/>
      <c r="K804" s="182"/>
      <c r="L804" s="182"/>
      <c r="M804" s="182"/>
      <c r="N804" s="182"/>
      <c r="O804" s="182"/>
      <c r="P804" s="182"/>
      <c r="Q804" s="182"/>
    </row>
    <row r="805" spans="1:17" ht="15.75" customHeight="1" x14ac:dyDescent="0.25">
      <c r="A805" s="182"/>
      <c r="B805" s="182"/>
      <c r="C805" s="182"/>
      <c r="D805" s="182"/>
      <c r="E805" s="182"/>
      <c r="F805" s="182"/>
      <c r="G805" s="182"/>
      <c r="H805" s="182"/>
      <c r="I805" s="182"/>
      <c r="J805" s="182"/>
      <c r="K805" s="182"/>
      <c r="L805" s="182"/>
      <c r="M805" s="182"/>
      <c r="N805" s="182"/>
      <c r="O805" s="182"/>
      <c r="P805" s="182"/>
      <c r="Q805" s="182"/>
    </row>
    <row r="806" spans="1:17" ht="15.75" customHeight="1" x14ac:dyDescent="0.25">
      <c r="A806" s="182"/>
      <c r="B806" s="182"/>
      <c r="C806" s="182"/>
      <c r="D806" s="182"/>
      <c r="E806" s="182"/>
      <c r="F806" s="182"/>
      <c r="G806" s="182"/>
      <c r="H806" s="182"/>
      <c r="I806" s="182"/>
      <c r="J806" s="182"/>
      <c r="K806" s="182"/>
      <c r="L806" s="182"/>
      <c r="M806" s="182"/>
      <c r="N806" s="182"/>
      <c r="O806" s="182"/>
      <c r="P806" s="182"/>
      <c r="Q806" s="182"/>
    </row>
    <row r="807" spans="1:17" ht="15.75" customHeight="1" x14ac:dyDescent="0.25">
      <c r="A807" s="182"/>
      <c r="B807" s="182"/>
      <c r="C807" s="182"/>
      <c r="D807" s="182"/>
      <c r="E807" s="182"/>
      <c r="F807" s="182"/>
      <c r="G807" s="182"/>
      <c r="H807" s="182"/>
      <c r="I807" s="182"/>
      <c r="J807" s="182"/>
      <c r="K807" s="182"/>
      <c r="L807" s="182"/>
      <c r="M807" s="182"/>
      <c r="N807" s="182"/>
      <c r="O807" s="182"/>
      <c r="P807" s="182"/>
      <c r="Q807" s="182"/>
    </row>
    <row r="808" spans="1:17" ht="15.75" customHeight="1" x14ac:dyDescent="0.25">
      <c r="A808" s="182"/>
      <c r="B808" s="182"/>
      <c r="C808" s="182"/>
      <c r="D808" s="182"/>
      <c r="E808" s="182"/>
      <c r="F808" s="182"/>
      <c r="G808" s="182"/>
      <c r="H808" s="182"/>
      <c r="I808" s="182"/>
      <c r="J808" s="182"/>
      <c r="K808" s="182"/>
      <c r="L808" s="182"/>
      <c r="M808" s="182"/>
      <c r="N808" s="182"/>
      <c r="O808" s="182"/>
      <c r="P808" s="182"/>
      <c r="Q808" s="182"/>
    </row>
    <row r="809" spans="1:17" ht="15.75" customHeight="1" x14ac:dyDescent="0.25">
      <c r="A809" s="182"/>
      <c r="B809" s="182"/>
      <c r="C809" s="182"/>
      <c r="D809" s="182"/>
      <c r="E809" s="182"/>
      <c r="F809" s="182"/>
      <c r="G809" s="182"/>
      <c r="H809" s="182"/>
      <c r="I809" s="182"/>
      <c r="J809" s="182"/>
      <c r="K809" s="182"/>
      <c r="L809" s="182"/>
      <c r="M809" s="182"/>
      <c r="N809" s="182"/>
      <c r="O809" s="182"/>
      <c r="P809" s="182"/>
      <c r="Q809" s="182"/>
    </row>
    <row r="810" spans="1:17" ht="15.75" customHeight="1" x14ac:dyDescent="0.25">
      <c r="A810" s="182"/>
      <c r="B810" s="182"/>
      <c r="C810" s="182"/>
      <c r="D810" s="182"/>
      <c r="E810" s="182"/>
      <c r="F810" s="182"/>
      <c r="G810" s="182"/>
      <c r="H810" s="182"/>
      <c r="I810" s="182"/>
      <c r="J810" s="182"/>
      <c r="K810" s="182"/>
      <c r="L810" s="182"/>
      <c r="M810" s="182"/>
      <c r="N810" s="182"/>
      <c r="O810" s="182"/>
      <c r="P810" s="182"/>
      <c r="Q810" s="182"/>
    </row>
    <row r="811" spans="1:17" ht="15.75" customHeight="1" x14ac:dyDescent="0.25">
      <c r="A811" s="182"/>
      <c r="B811" s="182"/>
      <c r="C811" s="182"/>
      <c r="D811" s="182"/>
      <c r="E811" s="182"/>
      <c r="F811" s="182"/>
      <c r="G811" s="182"/>
      <c r="H811" s="182"/>
      <c r="I811" s="182"/>
      <c r="J811" s="182"/>
      <c r="K811" s="182"/>
      <c r="L811" s="182"/>
      <c r="M811" s="182"/>
      <c r="N811" s="182"/>
      <c r="O811" s="182"/>
      <c r="P811" s="182"/>
      <c r="Q811" s="182"/>
    </row>
    <row r="812" spans="1:17" ht="15.75" customHeight="1" x14ac:dyDescent="0.25">
      <c r="A812" s="182"/>
      <c r="B812" s="182"/>
      <c r="C812" s="182"/>
      <c r="D812" s="182"/>
      <c r="E812" s="182"/>
      <c r="F812" s="182"/>
      <c r="G812" s="182"/>
      <c r="H812" s="182"/>
      <c r="I812" s="182"/>
      <c r="J812" s="182"/>
      <c r="K812" s="182"/>
      <c r="L812" s="182"/>
      <c r="M812" s="182"/>
      <c r="N812" s="182"/>
      <c r="O812" s="182"/>
      <c r="P812" s="182"/>
      <c r="Q812" s="182"/>
    </row>
    <row r="813" spans="1:17" ht="15.75" customHeight="1" x14ac:dyDescent="0.25">
      <c r="A813" s="182"/>
      <c r="B813" s="182"/>
      <c r="C813" s="182"/>
      <c r="D813" s="182"/>
      <c r="E813" s="182"/>
      <c r="F813" s="182"/>
      <c r="G813" s="182"/>
      <c r="H813" s="182"/>
      <c r="I813" s="182"/>
      <c r="J813" s="182"/>
      <c r="K813" s="182"/>
      <c r="L813" s="182"/>
      <c r="M813" s="182"/>
      <c r="N813" s="182"/>
      <c r="O813" s="182"/>
      <c r="P813" s="182"/>
      <c r="Q813" s="182"/>
    </row>
    <row r="814" spans="1:17" ht="15.75" customHeight="1" x14ac:dyDescent="0.25">
      <c r="A814" s="182"/>
      <c r="B814" s="182"/>
      <c r="C814" s="182"/>
      <c r="D814" s="182"/>
      <c r="E814" s="182"/>
      <c r="F814" s="182"/>
      <c r="G814" s="182"/>
      <c r="H814" s="182"/>
      <c r="I814" s="182"/>
      <c r="J814" s="182"/>
      <c r="K814" s="182"/>
      <c r="L814" s="182"/>
      <c r="M814" s="182"/>
      <c r="N814" s="182"/>
      <c r="O814" s="182"/>
      <c r="P814" s="182"/>
      <c r="Q814" s="182"/>
    </row>
    <row r="815" spans="1:17" ht="15.75" customHeight="1" x14ac:dyDescent="0.25">
      <c r="A815" s="182"/>
      <c r="B815" s="182"/>
      <c r="C815" s="182"/>
      <c r="D815" s="182"/>
      <c r="E815" s="182"/>
      <c r="F815" s="182"/>
      <c r="G815" s="182"/>
      <c r="H815" s="182"/>
      <c r="I815" s="182"/>
      <c r="J815" s="182"/>
      <c r="K815" s="182"/>
      <c r="L815" s="182"/>
      <c r="M815" s="182"/>
      <c r="N815" s="182"/>
      <c r="O815" s="182"/>
      <c r="P815" s="182"/>
      <c r="Q815" s="182"/>
    </row>
    <row r="816" spans="1:17" ht="15.75" customHeight="1" x14ac:dyDescent="0.25">
      <c r="A816" s="182"/>
      <c r="B816" s="182"/>
      <c r="C816" s="182"/>
      <c r="D816" s="182"/>
      <c r="E816" s="182"/>
      <c r="F816" s="182"/>
      <c r="G816" s="182"/>
      <c r="H816" s="182"/>
      <c r="I816" s="182"/>
      <c r="J816" s="182"/>
      <c r="K816" s="182"/>
      <c r="L816" s="182"/>
      <c r="M816" s="182"/>
      <c r="N816" s="182"/>
      <c r="O816" s="182"/>
      <c r="P816" s="182"/>
      <c r="Q816" s="182"/>
    </row>
    <row r="817" spans="1:17" ht="15.75" customHeight="1" x14ac:dyDescent="0.25">
      <c r="A817" s="182"/>
      <c r="B817" s="182"/>
      <c r="C817" s="182"/>
      <c r="D817" s="182"/>
      <c r="E817" s="182"/>
      <c r="F817" s="182"/>
      <c r="G817" s="182"/>
      <c r="H817" s="182"/>
      <c r="I817" s="182"/>
      <c r="J817" s="182"/>
      <c r="K817" s="182"/>
      <c r="L817" s="182"/>
      <c r="M817" s="182"/>
      <c r="N817" s="182"/>
      <c r="O817" s="182"/>
      <c r="P817" s="182"/>
      <c r="Q817" s="182"/>
    </row>
    <row r="818" spans="1:17" ht="15.75" customHeight="1" x14ac:dyDescent="0.25">
      <c r="A818" s="182"/>
      <c r="B818" s="182"/>
      <c r="C818" s="182"/>
      <c r="D818" s="182"/>
      <c r="E818" s="182"/>
      <c r="F818" s="182"/>
      <c r="G818" s="182"/>
      <c r="H818" s="182"/>
      <c r="I818" s="182"/>
      <c r="J818" s="182"/>
      <c r="K818" s="182"/>
      <c r="L818" s="182"/>
      <c r="M818" s="182"/>
      <c r="N818" s="182"/>
      <c r="O818" s="182"/>
      <c r="P818" s="182"/>
      <c r="Q818" s="182"/>
    </row>
    <row r="819" spans="1:17" ht="15.75" customHeight="1" x14ac:dyDescent="0.25">
      <c r="A819" s="182"/>
      <c r="B819" s="182"/>
      <c r="C819" s="182"/>
      <c r="D819" s="182"/>
      <c r="E819" s="182"/>
      <c r="F819" s="182"/>
      <c r="G819" s="182"/>
      <c r="H819" s="182"/>
      <c r="I819" s="182"/>
      <c r="J819" s="182"/>
      <c r="K819" s="182"/>
      <c r="L819" s="182"/>
      <c r="M819" s="182"/>
      <c r="N819" s="182"/>
      <c r="O819" s="182"/>
      <c r="P819" s="182"/>
      <c r="Q819" s="182"/>
    </row>
    <row r="820" spans="1:17" ht="15.75" customHeight="1" x14ac:dyDescent="0.25">
      <c r="A820" s="182"/>
      <c r="B820" s="182"/>
      <c r="C820" s="182"/>
      <c r="D820" s="182"/>
      <c r="E820" s="182"/>
      <c r="F820" s="182"/>
      <c r="G820" s="182"/>
      <c r="H820" s="182"/>
      <c r="I820" s="182"/>
      <c r="J820" s="182"/>
      <c r="K820" s="182"/>
      <c r="L820" s="182"/>
      <c r="M820" s="182"/>
      <c r="N820" s="182"/>
      <c r="O820" s="182"/>
      <c r="P820" s="182"/>
      <c r="Q820" s="182"/>
    </row>
    <row r="821" spans="1:17" ht="15.75" customHeight="1" x14ac:dyDescent="0.25">
      <c r="A821" s="182"/>
      <c r="B821" s="182"/>
      <c r="C821" s="182"/>
      <c r="D821" s="182"/>
      <c r="E821" s="182"/>
      <c r="F821" s="182"/>
      <c r="G821" s="182"/>
      <c r="H821" s="182"/>
      <c r="I821" s="182"/>
      <c r="J821" s="182"/>
      <c r="K821" s="182"/>
      <c r="L821" s="182"/>
      <c r="M821" s="182"/>
      <c r="N821" s="182"/>
      <c r="O821" s="182"/>
      <c r="P821" s="182"/>
      <c r="Q821" s="182"/>
    </row>
    <row r="822" spans="1:17" ht="15.75" customHeight="1" x14ac:dyDescent="0.25">
      <c r="A822" s="182"/>
      <c r="B822" s="182"/>
      <c r="C822" s="182"/>
      <c r="D822" s="182"/>
      <c r="E822" s="182"/>
      <c r="F822" s="182"/>
      <c r="G822" s="182"/>
      <c r="H822" s="182"/>
      <c r="I822" s="182"/>
      <c r="J822" s="182"/>
      <c r="K822" s="182"/>
      <c r="L822" s="182"/>
      <c r="M822" s="182"/>
      <c r="N822" s="182"/>
      <c r="O822" s="182"/>
      <c r="P822" s="182"/>
      <c r="Q822" s="182"/>
    </row>
    <row r="823" spans="1:17" ht="15.75" customHeight="1" x14ac:dyDescent="0.25">
      <c r="A823" s="182"/>
      <c r="B823" s="182"/>
      <c r="C823" s="182"/>
      <c r="D823" s="182"/>
      <c r="E823" s="182"/>
      <c r="F823" s="182"/>
      <c r="G823" s="182"/>
      <c r="H823" s="182"/>
      <c r="I823" s="182"/>
      <c r="J823" s="182"/>
      <c r="K823" s="182"/>
      <c r="L823" s="182"/>
      <c r="M823" s="182"/>
      <c r="N823" s="182"/>
      <c r="O823" s="182"/>
      <c r="P823" s="182"/>
      <c r="Q823" s="182"/>
    </row>
    <row r="824" spans="1:17" ht="15.75" customHeight="1" x14ac:dyDescent="0.25">
      <c r="A824" s="182"/>
      <c r="B824" s="182"/>
      <c r="C824" s="182"/>
      <c r="D824" s="182"/>
      <c r="E824" s="182"/>
      <c r="F824" s="182"/>
      <c r="G824" s="182"/>
      <c r="H824" s="182"/>
      <c r="I824" s="182"/>
      <c r="J824" s="182"/>
      <c r="K824" s="182"/>
      <c r="L824" s="182"/>
      <c r="M824" s="182"/>
      <c r="N824" s="182"/>
      <c r="O824" s="182"/>
      <c r="P824" s="182"/>
      <c r="Q824" s="182"/>
    </row>
    <row r="825" spans="1:17" ht="15.75" customHeight="1" x14ac:dyDescent="0.25">
      <c r="A825" s="182"/>
      <c r="B825" s="182"/>
      <c r="C825" s="182"/>
      <c r="D825" s="182"/>
      <c r="E825" s="182"/>
      <c r="F825" s="182"/>
      <c r="G825" s="182"/>
      <c r="H825" s="182"/>
      <c r="I825" s="182"/>
      <c r="J825" s="182"/>
      <c r="K825" s="182"/>
      <c r="L825" s="182"/>
      <c r="M825" s="182"/>
      <c r="N825" s="182"/>
      <c r="O825" s="182"/>
      <c r="P825" s="182"/>
      <c r="Q825" s="182"/>
    </row>
    <row r="826" spans="1:17" ht="15.75" customHeight="1" x14ac:dyDescent="0.25">
      <c r="A826" s="182"/>
      <c r="B826" s="182"/>
      <c r="C826" s="182"/>
      <c r="D826" s="182"/>
      <c r="E826" s="182"/>
      <c r="F826" s="182"/>
      <c r="G826" s="182"/>
      <c r="H826" s="182"/>
      <c r="I826" s="182"/>
      <c r="J826" s="182"/>
      <c r="K826" s="182"/>
      <c r="L826" s="182"/>
      <c r="M826" s="182"/>
      <c r="N826" s="182"/>
      <c r="O826" s="182"/>
      <c r="P826" s="182"/>
      <c r="Q826" s="182"/>
    </row>
    <row r="827" spans="1:17" ht="15.75" customHeight="1" x14ac:dyDescent="0.25">
      <c r="A827" s="182"/>
      <c r="B827" s="182"/>
      <c r="C827" s="182"/>
      <c r="D827" s="182"/>
      <c r="E827" s="182"/>
      <c r="F827" s="182"/>
      <c r="G827" s="182"/>
      <c r="H827" s="182"/>
      <c r="I827" s="182"/>
      <c r="J827" s="182"/>
      <c r="K827" s="182"/>
      <c r="L827" s="182"/>
      <c r="M827" s="182"/>
      <c r="N827" s="182"/>
      <c r="O827" s="182"/>
      <c r="P827" s="182"/>
      <c r="Q827" s="182"/>
    </row>
    <row r="828" spans="1:17" ht="15.75" customHeight="1" x14ac:dyDescent="0.25">
      <c r="A828" s="182"/>
      <c r="B828" s="182"/>
      <c r="C828" s="182"/>
      <c r="D828" s="182"/>
      <c r="E828" s="182"/>
      <c r="F828" s="182"/>
      <c r="G828" s="182"/>
      <c r="H828" s="182"/>
      <c r="I828" s="182"/>
      <c r="J828" s="182"/>
      <c r="K828" s="182"/>
      <c r="L828" s="182"/>
      <c r="M828" s="182"/>
      <c r="N828" s="182"/>
      <c r="O828" s="182"/>
      <c r="P828" s="182"/>
      <c r="Q828" s="182"/>
    </row>
    <row r="829" spans="1:17" ht="15.75" customHeight="1" x14ac:dyDescent="0.25">
      <c r="A829" s="182"/>
      <c r="B829" s="182"/>
      <c r="C829" s="182"/>
      <c r="D829" s="182"/>
      <c r="E829" s="182"/>
      <c r="F829" s="182"/>
      <c r="G829" s="182"/>
      <c r="H829" s="182"/>
      <c r="I829" s="182"/>
      <c r="J829" s="182"/>
      <c r="K829" s="182"/>
      <c r="L829" s="182"/>
      <c r="M829" s="182"/>
      <c r="N829" s="182"/>
      <c r="O829" s="182"/>
      <c r="P829" s="182"/>
      <c r="Q829" s="182"/>
    </row>
    <row r="830" spans="1:17" ht="15.75" customHeight="1" x14ac:dyDescent="0.25">
      <c r="A830" s="182"/>
      <c r="B830" s="182"/>
      <c r="C830" s="182"/>
      <c r="D830" s="182"/>
      <c r="E830" s="182"/>
      <c r="F830" s="182"/>
      <c r="G830" s="182"/>
      <c r="H830" s="182"/>
      <c r="I830" s="182"/>
      <c r="J830" s="182"/>
      <c r="K830" s="182"/>
      <c r="L830" s="182"/>
      <c r="M830" s="182"/>
      <c r="N830" s="182"/>
      <c r="O830" s="182"/>
      <c r="P830" s="182"/>
      <c r="Q830" s="182"/>
    </row>
    <row r="831" spans="1:17" ht="15.75" customHeight="1" x14ac:dyDescent="0.25">
      <c r="A831" s="182"/>
      <c r="B831" s="182"/>
      <c r="C831" s="182"/>
      <c r="D831" s="182"/>
      <c r="E831" s="182"/>
      <c r="F831" s="182"/>
      <c r="G831" s="182"/>
      <c r="H831" s="182"/>
      <c r="I831" s="182"/>
      <c r="J831" s="182"/>
      <c r="K831" s="182"/>
      <c r="L831" s="182"/>
      <c r="M831" s="182"/>
      <c r="N831" s="182"/>
      <c r="O831" s="182"/>
      <c r="P831" s="182"/>
      <c r="Q831" s="182"/>
    </row>
    <row r="832" spans="1:17" ht="15.75" customHeight="1" x14ac:dyDescent="0.25">
      <c r="A832" s="182"/>
      <c r="B832" s="182"/>
      <c r="C832" s="182"/>
      <c r="D832" s="182"/>
      <c r="E832" s="182"/>
      <c r="F832" s="182"/>
      <c r="G832" s="182"/>
      <c r="H832" s="182"/>
      <c r="I832" s="182"/>
      <c r="J832" s="182"/>
      <c r="K832" s="182"/>
      <c r="L832" s="182"/>
      <c r="M832" s="182"/>
      <c r="N832" s="182"/>
      <c r="O832" s="182"/>
      <c r="P832" s="182"/>
      <c r="Q832" s="182"/>
    </row>
    <row r="833" spans="1:17" ht="15.75" customHeight="1" x14ac:dyDescent="0.25">
      <c r="A833" s="182"/>
      <c r="B833" s="182"/>
      <c r="C833" s="182"/>
      <c r="D833" s="182"/>
      <c r="E833" s="182"/>
      <c r="F833" s="182"/>
      <c r="G833" s="182"/>
      <c r="H833" s="182"/>
      <c r="I833" s="182"/>
      <c r="J833" s="182"/>
      <c r="K833" s="182"/>
      <c r="L833" s="182"/>
      <c r="M833" s="182"/>
      <c r="N833" s="182"/>
      <c r="O833" s="182"/>
      <c r="P833" s="182"/>
      <c r="Q833" s="182"/>
    </row>
    <row r="834" spans="1:17" ht="15.75" customHeight="1" x14ac:dyDescent="0.25">
      <c r="A834" s="182"/>
      <c r="B834" s="182"/>
      <c r="C834" s="182"/>
      <c r="D834" s="182"/>
      <c r="E834" s="182"/>
      <c r="F834" s="182"/>
      <c r="G834" s="182"/>
      <c r="H834" s="182"/>
      <c r="I834" s="182"/>
      <c r="J834" s="182"/>
      <c r="K834" s="182"/>
      <c r="L834" s="182"/>
      <c r="M834" s="182"/>
      <c r="N834" s="182"/>
      <c r="O834" s="182"/>
      <c r="P834" s="182"/>
      <c r="Q834" s="182"/>
    </row>
    <row r="835" spans="1:17" ht="15.75" customHeight="1" x14ac:dyDescent="0.25">
      <c r="A835" s="182"/>
      <c r="B835" s="182"/>
      <c r="C835" s="182"/>
      <c r="D835" s="182"/>
      <c r="E835" s="182"/>
      <c r="F835" s="182"/>
      <c r="G835" s="182"/>
      <c r="H835" s="182"/>
      <c r="I835" s="182"/>
      <c r="J835" s="182"/>
      <c r="K835" s="182"/>
      <c r="L835" s="182"/>
      <c r="M835" s="182"/>
      <c r="N835" s="182"/>
      <c r="O835" s="182"/>
      <c r="P835" s="182"/>
      <c r="Q835" s="182"/>
    </row>
    <row r="836" spans="1:17" ht="15.75" customHeight="1" x14ac:dyDescent="0.25">
      <c r="A836" s="182"/>
      <c r="B836" s="182"/>
      <c r="C836" s="182"/>
      <c r="D836" s="182"/>
      <c r="E836" s="182"/>
      <c r="F836" s="182"/>
      <c r="G836" s="182"/>
      <c r="H836" s="182"/>
      <c r="I836" s="182"/>
      <c r="J836" s="182"/>
      <c r="K836" s="182"/>
      <c r="L836" s="182"/>
      <c r="M836" s="182"/>
      <c r="N836" s="182"/>
      <c r="O836" s="182"/>
      <c r="P836" s="182"/>
      <c r="Q836" s="182"/>
    </row>
    <row r="837" spans="1:17" ht="15.75" customHeight="1" x14ac:dyDescent="0.25">
      <c r="A837" s="182"/>
      <c r="B837" s="182"/>
      <c r="C837" s="182"/>
      <c r="D837" s="182"/>
      <c r="E837" s="182"/>
      <c r="F837" s="182"/>
      <c r="G837" s="182"/>
      <c r="H837" s="182"/>
      <c r="I837" s="182"/>
      <c r="J837" s="182"/>
      <c r="K837" s="182"/>
      <c r="L837" s="182"/>
      <c r="M837" s="182"/>
      <c r="N837" s="182"/>
      <c r="O837" s="182"/>
      <c r="P837" s="182"/>
      <c r="Q837" s="182"/>
    </row>
    <row r="838" spans="1:17" ht="15.75" customHeight="1" x14ac:dyDescent="0.25">
      <c r="A838" s="182"/>
      <c r="B838" s="182"/>
      <c r="C838" s="182"/>
      <c r="D838" s="182"/>
      <c r="E838" s="182"/>
      <c r="F838" s="182"/>
      <c r="G838" s="182"/>
      <c r="H838" s="182"/>
      <c r="I838" s="182"/>
      <c r="J838" s="182"/>
      <c r="K838" s="182"/>
      <c r="L838" s="182"/>
      <c r="M838" s="182"/>
      <c r="N838" s="182"/>
      <c r="O838" s="182"/>
      <c r="P838" s="182"/>
      <c r="Q838" s="182"/>
    </row>
    <row r="839" spans="1:17" ht="15.75" customHeight="1" x14ac:dyDescent="0.25">
      <c r="A839" s="182"/>
      <c r="B839" s="182"/>
      <c r="C839" s="182"/>
      <c r="D839" s="182"/>
      <c r="E839" s="182"/>
      <c r="F839" s="182"/>
      <c r="G839" s="182"/>
      <c r="H839" s="182"/>
      <c r="I839" s="182"/>
      <c r="J839" s="182"/>
      <c r="K839" s="182"/>
      <c r="L839" s="182"/>
      <c r="M839" s="182"/>
      <c r="N839" s="182"/>
      <c r="O839" s="182"/>
      <c r="P839" s="182"/>
      <c r="Q839" s="182"/>
    </row>
    <row r="840" spans="1:17" ht="15.75" customHeight="1" x14ac:dyDescent="0.25">
      <c r="A840" s="182"/>
      <c r="B840" s="182"/>
      <c r="C840" s="182"/>
      <c r="D840" s="182"/>
      <c r="E840" s="182"/>
      <c r="F840" s="182"/>
      <c r="G840" s="182"/>
      <c r="H840" s="182"/>
      <c r="I840" s="182"/>
      <c r="J840" s="182"/>
      <c r="K840" s="182"/>
      <c r="L840" s="182"/>
      <c r="M840" s="182"/>
      <c r="N840" s="182"/>
      <c r="O840" s="182"/>
      <c r="P840" s="182"/>
      <c r="Q840" s="182"/>
    </row>
    <row r="841" spans="1:17" ht="15.75" customHeight="1" x14ac:dyDescent="0.25">
      <c r="A841" s="182"/>
      <c r="B841" s="182"/>
      <c r="C841" s="182"/>
      <c r="D841" s="182"/>
      <c r="E841" s="182"/>
      <c r="F841" s="182"/>
      <c r="G841" s="182"/>
      <c r="H841" s="182"/>
      <c r="I841" s="182"/>
      <c r="J841" s="182"/>
      <c r="K841" s="182"/>
      <c r="L841" s="182"/>
      <c r="M841" s="182"/>
      <c r="N841" s="182"/>
      <c r="O841" s="182"/>
      <c r="P841" s="182"/>
      <c r="Q841" s="182"/>
    </row>
    <row r="842" spans="1:17" ht="15.75" customHeight="1" x14ac:dyDescent="0.25">
      <c r="A842" s="182"/>
      <c r="B842" s="182"/>
      <c r="C842" s="182"/>
      <c r="D842" s="182"/>
      <c r="E842" s="182"/>
      <c r="F842" s="182"/>
      <c r="G842" s="182"/>
      <c r="H842" s="182"/>
      <c r="I842" s="182"/>
      <c r="J842" s="182"/>
      <c r="K842" s="182"/>
      <c r="L842" s="182"/>
      <c r="M842" s="182"/>
      <c r="N842" s="182"/>
      <c r="O842" s="182"/>
      <c r="P842" s="182"/>
      <c r="Q842" s="182"/>
    </row>
    <row r="843" spans="1:17" ht="15.75" customHeight="1" x14ac:dyDescent="0.25">
      <c r="A843" s="182"/>
      <c r="B843" s="182"/>
      <c r="C843" s="182"/>
      <c r="D843" s="182"/>
      <c r="E843" s="182"/>
      <c r="F843" s="182"/>
      <c r="G843" s="182"/>
      <c r="H843" s="182"/>
      <c r="I843" s="182"/>
      <c r="J843" s="182"/>
      <c r="K843" s="182"/>
      <c r="L843" s="182"/>
      <c r="M843" s="182"/>
      <c r="N843" s="182"/>
      <c r="O843" s="182"/>
      <c r="P843" s="182"/>
      <c r="Q843" s="182"/>
    </row>
    <row r="844" spans="1:17" ht="15.75" customHeight="1" x14ac:dyDescent="0.25">
      <c r="A844" s="182"/>
      <c r="B844" s="182"/>
      <c r="C844" s="182"/>
      <c r="D844" s="182"/>
      <c r="E844" s="182"/>
      <c r="F844" s="182"/>
      <c r="G844" s="182"/>
      <c r="H844" s="182"/>
      <c r="I844" s="182"/>
      <c r="J844" s="182"/>
      <c r="K844" s="182"/>
      <c r="L844" s="182"/>
      <c r="M844" s="182"/>
      <c r="N844" s="182"/>
      <c r="O844" s="182"/>
      <c r="P844" s="182"/>
      <c r="Q844" s="182"/>
    </row>
    <row r="845" spans="1:17" ht="15.75" customHeight="1" x14ac:dyDescent="0.25">
      <c r="A845" s="182"/>
      <c r="B845" s="182"/>
      <c r="C845" s="182"/>
      <c r="D845" s="182"/>
      <c r="E845" s="182"/>
      <c r="F845" s="182"/>
      <c r="G845" s="182"/>
      <c r="H845" s="182"/>
      <c r="I845" s="182"/>
      <c r="J845" s="182"/>
      <c r="K845" s="182"/>
      <c r="L845" s="182"/>
      <c r="M845" s="182"/>
      <c r="N845" s="182"/>
      <c r="O845" s="182"/>
      <c r="P845" s="182"/>
      <c r="Q845" s="182"/>
    </row>
    <row r="846" spans="1:17" ht="15.75" customHeight="1" x14ac:dyDescent="0.25">
      <c r="A846" s="182"/>
      <c r="B846" s="182"/>
      <c r="C846" s="182"/>
      <c r="D846" s="182"/>
      <c r="E846" s="182"/>
      <c r="F846" s="182"/>
      <c r="G846" s="182"/>
      <c r="H846" s="182"/>
      <c r="I846" s="182"/>
      <c r="J846" s="182"/>
      <c r="K846" s="182"/>
      <c r="L846" s="182"/>
      <c r="M846" s="182"/>
      <c r="N846" s="182"/>
      <c r="O846" s="182"/>
      <c r="P846" s="182"/>
      <c r="Q846" s="182"/>
    </row>
    <row r="847" spans="1:17" ht="15.75" customHeight="1" x14ac:dyDescent="0.25">
      <c r="A847" s="182"/>
      <c r="B847" s="182"/>
      <c r="C847" s="182"/>
      <c r="D847" s="182"/>
      <c r="E847" s="182"/>
      <c r="F847" s="182"/>
      <c r="G847" s="182"/>
      <c r="H847" s="182"/>
      <c r="I847" s="182"/>
      <c r="J847" s="182"/>
      <c r="K847" s="182"/>
      <c r="L847" s="182"/>
      <c r="M847" s="182"/>
      <c r="N847" s="182"/>
      <c r="O847" s="182"/>
      <c r="P847" s="182"/>
      <c r="Q847" s="182"/>
    </row>
    <row r="848" spans="1:17" ht="15.75" customHeight="1" x14ac:dyDescent="0.25">
      <c r="A848" s="182"/>
      <c r="B848" s="182"/>
      <c r="C848" s="182"/>
      <c r="D848" s="182"/>
      <c r="E848" s="182"/>
      <c r="F848" s="182"/>
      <c r="G848" s="182"/>
      <c r="H848" s="182"/>
      <c r="I848" s="182"/>
      <c r="J848" s="182"/>
      <c r="K848" s="182"/>
      <c r="L848" s="182"/>
      <c r="M848" s="182"/>
      <c r="N848" s="182"/>
      <c r="O848" s="182"/>
      <c r="P848" s="182"/>
      <c r="Q848" s="182"/>
    </row>
    <row r="849" spans="1:17" ht="15.75" customHeight="1" x14ac:dyDescent="0.25">
      <c r="A849" s="182"/>
      <c r="B849" s="182"/>
      <c r="C849" s="182"/>
      <c r="D849" s="182"/>
      <c r="E849" s="182"/>
      <c r="F849" s="182"/>
      <c r="G849" s="182"/>
      <c r="H849" s="182"/>
      <c r="I849" s="182"/>
      <c r="J849" s="182"/>
      <c r="K849" s="182"/>
      <c r="L849" s="182"/>
      <c r="M849" s="182"/>
      <c r="N849" s="182"/>
      <c r="O849" s="182"/>
      <c r="P849" s="182"/>
      <c r="Q849" s="182"/>
    </row>
    <row r="850" spans="1:17" ht="15.75" customHeight="1" x14ac:dyDescent="0.25">
      <c r="A850" s="182"/>
      <c r="B850" s="182"/>
      <c r="C850" s="182"/>
      <c r="D850" s="182"/>
      <c r="E850" s="182"/>
      <c r="F850" s="182"/>
      <c r="G850" s="182"/>
      <c r="H850" s="182"/>
      <c r="I850" s="182"/>
      <c r="J850" s="182"/>
      <c r="K850" s="182"/>
      <c r="L850" s="182"/>
      <c r="M850" s="182"/>
      <c r="N850" s="182"/>
      <c r="O850" s="182"/>
      <c r="P850" s="182"/>
      <c r="Q850" s="182"/>
    </row>
    <row r="851" spans="1:17" ht="15.75" customHeight="1" x14ac:dyDescent="0.25">
      <c r="A851" s="182"/>
      <c r="B851" s="182"/>
      <c r="C851" s="182"/>
      <c r="D851" s="182"/>
      <c r="E851" s="182"/>
      <c r="F851" s="182"/>
      <c r="G851" s="182"/>
      <c r="H851" s="182"/>
      <c r="I851" s="182"/>
      <c r="J851" s="182"/>
      <c r="K851" s="182"/>
      <c r="L851" s="182"/>
      <c r="M851" s="182"/>
      <c r="N851" s="182"/>
      <c r="O851" s="182"/>
      <c r="P851" s="182"/>
      <c r="Q851" s="182"/>
    </row>
    <row r="852" spans="1:17" ht="15.75" customHeight="1" x14ac:dyDescent="0.25">
      <c r="A852" s="182"/>
      <c r="B852" s="182"/>
      <c r="C852" s="182"/>
      <c r="D852" s="182"/>
      <c r="E852" s="182"/>
      <c r="F852" s="182"/>
      <c r="G852" s="182"/>
      <c r="H852" s="182"/>
      <c r="I852" s="182"/>
      <c r="J852" s="182"/>
      <c r="K852" s="182"/>
      <c r="L852" s="182"/>
      <c r="M852" s="182"/>
      <c r="N852" s="182"/>
      <c r="O852" s="182"/>
      <c r="P852" s="182"/>
      <c r="Q852" s="182"/>
    </row>
    <row r="853" spans="1:17" ht="15.75" customHeight="1" x14ac:dyDescent="0.25">
      <c r="A853" s="182"/>
      <c r="B853" s="182"/>
      <c r="C853" s="182"/>
      <c r="D853" s="182"/>
      <c r="E853" s="182"/>
      <c r="F853" s="182"/>
      <c r="G853" s="182"/>
      <c r="H853" s="182"/>
      <c r="I853" s="182"/>
      <c r="J853" s="182"/>
      <c r="K853" s="182"/>
      <c r="L853" s="182"/>
      <c r="M853" s="182"/>
      <c r="N853" s="182"/>
      <c r="O853" s="182"/>
      <c r="P853" s="182"/>
      <c r="Q853" s="182"/>
    </row>
    <row r="854" spans="1:17" ht="15.75" customHeight="1" x14ac:dyDescent="0.25">
      <c r="A854" s="182"/>
      <c r="B854" s="182"/>
      <c r="C854" s="182"/>
      <c r="D854" s="182"/>
      <c r="E854" s="182"/>
      <c r="F854" s="182"/>
      <c r="G854" s="182"/>
      <c r="H854" s="182"/>
      <c r="I854" s="182"/>
      <c r="J854" s="182"/>
      <c r="K854" s="182"/>
      <c r="L854" s="182"/>
      <c r="M854" s="182"/>
      <c r="N854" s="182"/>
      <c r="O854" s="182"/>
      <c r="P854" s="182"/>
      <c r="Q854" s="182"/>
    </row>
    <row r="855" spans="1:17" ht="15.75" customHeight="1" x14ac:dyDescent="0.25">
      <c r="A855" s="182"/>
      <c r="B855" s="182"/>
      <c r="C855" s="182"/>
      <c r="D855" s="182"/>
      <c r="E855" s="182"/>
      <c r="F855" s="182"/>
      <c r="G855" s="182"/>
      <c r="H855" s="182"/>
      <c r="I855" s="182"/>
      <c r="J855" s="182"/>
      <c r="K855" s="182"/>
      <c r="L855" s="182"/>
      <c r="M855" s="182"/>
      <c r="N855" s="182"/>
      <c r="O855" s="182"/>
      <c r="P855" s="182"/>
      <c r="Q855" s="182"/>
    </row>
    <row r="856" spans="1:17" ht="15.75" customHeight="1" x14ac:dyDescent="0.25">
      <c r="A856" s="182"/>
      <c r="B856" s="182"/>
      <c r="C856" s="182"/>
      <c r="D856" s="182"/>
      <c r="E856" s="182"/>
      <c r="F856" s="182"/>
      <c r="G856" s="182"/>
      <c r="H856" s="182"/>
      <c r="I856" s="182"/>
      <c r="J856" s="182"/>
      <c r="K856" s="182"/>
      <c r="L856" s="182"/>
      <c r="M856" s="182"/>
      <c r="N856" s="182"/>
      <c r="O856" s="182"/>
      <c r="P856" s="182"/>
      <c r="Q856" s="182"/>
    </row>
    <row r="857" spans="1:17" ht="15.75" customHeight="1" x14ac:dyDescent="0.25">
      <c r="A857" s="182"/>
      <c r="B857" s="182"/>
      <c r="C857" s="182"/>
      <c r="D857" s="182"/>
      <c r="E857" s="182"/>
      <c r="F857" s="182"/>
      <c r="G857" s="182"/>
      <c r="H857" s="182"/>
      <c r="I857" s="182"/>
      <c r="J857" s="182"/>
      <c r="K857" s="182"/>
      <c r="L857" s="182"/>
      <c r="M857" s="182"/>
      <c r="N857" s="182"/>
      <c r="O857" s="182"/>
      <c r="P857" s="182"/>
      <c r="Q857" s="182"/>
    </row>
    <row r="858" spans="1:17" ht="15.75" customHeight="1" x14ac:dyDescent="0.25">
      <c r="A858" s="182"/>
      <c r="B858" s="182"/>
      <c r="C858" s="182"/>
      <c r="D858" s="182"/>
      <c r="E858" s="182"/>
      <c r="F858" s="182"/>
      <c r="G858" s="182"/>
      <c r="H858" s="182"/>
      <c r="I858" s="182"/>
      <c r="J858" s="182"/>
      <c r="K858" s="182"/>
      <c r="L858" s="182"/>
      <c r="M858" s="182"/>
      <c r="N858" s="182"/>
      <c r="O858" s="182"/>
      <c r="P858" s="182"/>
      <c r="Q858" s="182"/>
    </row>
    <row r="859" spans="1:17" ht="15.75" customHeight="1" x14ac:dyDescent="0.25">
      <c r="A859" s="182"/>
      <c r="B859" s="182"/>
      <c r="C859" s="182"/>
      <c r="D859" s="182"/>
      <c r="E859" s="182"/>
      <c r="F859" s="182"/>
      <c r="G859" s="182"/>
      <c r="H859" s="182"/>
      <c r="I859" s="182"/>
      <c r="J859" s="182"/>
      <c r="K859" s="182"/>
      <c r="L859" s="182"/>
      <c r="M859" s="182"/>
      <c r="N859" s="182"/>
      <c r="O859" s="182"/>
      <c r="P859" s="182"/>
      <c r="Q859" s="182"/>
    </row>
    <row r="860" spans="1:17" ht="15.75" customHeight="1" x14ac:dyDescent="0.25">
      <c r="A860" s="182"/>
      <c r="B860" s="182"/>
      <c r="C860" s="182"/>
      <c r="D860" s="182"/>
      <c r="E860" s="182"/>
      <c r="F860" s="182"/>
      <c r="G860" s="182"/>
      <c r="H860" s="182"/>
      <c r="I860" s="182"/>
      <c r="J860" s="182"/>
      <c r="K860" s="182"/>
      <c r="L860" s="182"/>
      <c r="M860" s="182"/>
      <c r="N860" s="182"/>
      <c r="O860" s="182"/>
      <c r="P860" s="182"/>
      <c r="Q860" s="182"/>
    </row>
    <row r="861" spans="1:17" ht="15.75" customHeight="1" x14ac:dyDescent="0.25">
      <c r="A861" s="182"/>
      <c r="B861" s="182"/>
      <c r="C861" s="182"/>
      <c r="D861" s="182"/>
      <c r="E861" s="182"/>
      <c r="F861" s="182"/>
      <c r="G861" s="182"/>
      <c r="H861" s="182"/>
      <c r="I861" s="182"/>
      <c r="J861" s="182"/>
      <c r="K861" s="182"/>
      <c r="L861" s="182"/>
      <c r="M861" s="182"/>
      <c r="N861" s="182"/>
      <c r="O861" s="182"/>
      <c r="P861" s="182"/>
      <c r="Q861" s="182"/>
    </row>
    <row r="862" spans="1:17" ht="15.75" customHeight="1" x14ac:dyDescent="0.25">
      <c r="A862" s="182"/>
      <c r="B862" s="182"/>
      <c r="C862" s="182"/>
      <c r="D862" s="182"/>
      <c r="E862" s="182"/>
      <c r="F862" s="182"/>
      <c r="G862" s="182"/>
      <c r="H862" s="182"/>
      <c r="I862" s="182"/>
      <c r="J862" s="182"/>
      <c r="K862" s="182"/>
      <c r="L862" s="182"/>
      <c r="M862" s="182"/>
      <c r="N862" s="182"/>
      <c r="O862" s="182"/>
      <c r="P862" s="182"/>
      <c r="Q862" s="182"/>
    </row>
    <row r="863" spans="1:17" ht="15.75" customHeight="1" x14ac:dyDescent="0.25">
      <c r="A863" s="182"/>
      <c r="B863" s="182"/>
      <c r="C863" s="182"/>
      <c r="D863" s="182"/>
      <c r="E863" s="182"/>
      <c r="F863" s="182"/>
      <c r="G863" s="182"/>
      <c r="H863" s="182"/>
      <c r="I863" s="182"/>
      <c r="J863" s="182"/>
      <c r="K863" s="182"/>
      <c r="L863" s="182"/>
      <c r="M863" s="182"/>
      <c r="N863" s="182"/>
      <c r="O863" s="182"/>
      <c r="P863" s="182"/>
      <c r="Q863" s="182"/>
    </row>
    <row r="864" spans="1:17" ht="15.75" customHeight="1" x14ac:dyDescent="0.25">
      <c r="A864" s="182"/>
      <c r="B864" s="182"/>
      <c r="C864" s="182"/>
      <c r="D864" s="182"/>
      <c r="E864" s="182"/>
      <c r="F864" s="182"/>
      <c r="G864" s="182"/>
      <c r="H864" s="182"/>
      <c r="I864" s="182"/>
      <c r="J864" s="182"/>
      <c r="K864" s="182"/>
      <c r="L864" s="182"/>
      <c r="M864" s="182"/>
      <c r="N864" s="182"/>
      <c r="O864" s="182"/>
      <c r="P864" s="182"/>
      <c r="Q864" s="182"/>
    </row>
    <row r="865" spans="1:17" ht="15.75" customHeight="1" x14ac:dyDescent="0.25">
      <c r="A865" s="182"/>
      <c r="B865" s="182"/>
      <c r="C865" s="182"/>
      <c r="D865" s="182"/>
      <c r="E865" s="182"/>
      <c r="F865" s="182"/>
      <c r="G865" s="182"/>
      <c r="H865" s="182"/>
      <c r="I865" s="182"/>
      <c r="J865" s="182"/>
      <c r="K865" s="182"/>
      <c r="L865" s="182"/>
      <c r="M865" s="182"/>
      <c r="N865" s="182"/>
      <c r="O865" s="182"/>
      <c r="P865" s="182"/>
      <c r="Q865" s="182"/>
    </row>
    <row r="866" spans="1:17" ht="15.75" customHeight="1" x14ac:dyDescent="0.25">
      <c r="A866" s="182"/>
      <c r="B866" s="182"/>
      <c r="C866" s="182"/>
      <c r="D866" s="182"/>
      <c r="E866" s="182"/>
      <c r="F866" s="182"/>
      <c r="G866" s="182"/>
      <c r="H866" s="182"/>
      <c r="I866" s="182"/>
      <c r="J866" s="182"/>
      <c r="K866" s="182"/>
      <c r="L866" s="182"/>
      <c r="M866" s="182"/>
      <c r="N866" s="182"/>
      <c r="O866" s="182"/>
      <c r="P866" s="182"/>
      <c r="Q866" s="182"/>
    </row>
    <row r="867" spans="1:17" ht="15.75" customHeight="1" x14ac:dyDescent="0.25">
      <c r="A867" s="182"/>
      <c r="B867" s="182"/>
      <c r="C867" s="182"/>
      <c r="D867" s="182"/>
      <c r="E867" s="182"/>
      <c r="F867" s="182"/>
      <c r="G867" s="182"/>
      <c r="H867" s="182"/>
      <c r="I867" s="182"/>
      <c r="J867" s="182"/>
      <c r="K867" s="182"/>
      <c r="L867" s="182"/>
      <c r="M867" s="182"/>
      <c r="N867" s="182"/>
      <c r="O867" s="182"/>
      <c r="P867" s="182"/>
      <c r="Q867" s="182"/>
    </row>
    <row r="868" spans="1:17" ht="15.75" customHeight="1" x14ac:dyDescent="0.25">
      <c r="A868" s="182"/>
      <c r="B868" s="182"/>
      <c r="C868" s="182"/>
      <c r="D868" s="182"/>
      <c r="E868" s="182"/>
      <c r="F868" s="182"/>
      <c r="G868" s="182"/>
      <c r="H868" s="182"/>
      <c r="I868" s="182"/>
      <c r="J868" s="182"/>
      <c r="K868" s="182"/>
      <c r="L868" s="182"/>
      <c r="M868" s="182"/>
      <c r="N868" s="182"/>
      <c r="O868" s="182"/>
      <c r="P868" s="182"/>
      <c r="Q868" s="182"/>
    </row>
    <row r="869" spans="1:17" ht="15.75" customHeight="1" x14ac:dyDescent="0.25">
      <c r="A869" s="182"/>
      <c r="B869" s="182"/>
      <c r="C869" s="182"/>
      <c r="D869" s="182"/>
      <c r="E869" s="182"/>
      <c r="F869" s="182"/>
      <c r="G869" s="182"/>
      <c r="H869" s="182"/>
      <c r="I869" s="182"/>
      <c r="J869" s="182"/>
      <c r="K869" s="182"/>
      <c r="L869" s="182"/>
      <c r="M869" s="182"/>
      <c r="N869" s="182"/>
      <c r="O869" s="182"/>
      <c r="P869" s="182"/>
      <c r="Q869" s="182"/>
    </row>
    <row r="870" spans="1:17" ht="15.75" customHeight="1" x14ac:dyDescent="0.25">
      <c r="A870" s="182"/>
      <c r="B870" s="182"/>
      <c r="C870" s="182"/>
      <c r="D870" s="182"/>
      <c r="E870" s="182"/>
      <c r="F870" s="182"/>
      <c r="G870" s="182"/>
      <c r="H870" s="182"/>
      <c r="I870" s="182"/>
      <c r="J870" s="182"/>
      <c r="K870" s="182"/>
      <c r="L870" s="182"/>
      <c r="M870" s="182"/>
      <c r="N870" s="182"/>
      <c r="O870" s="182"/>
      <c r="P870" s="182"/>
      <c r="Q870" s="182"/>
    </row>
    <row r="871" spans="1:17" ht="15" customHeight="1" x14ac:dyDescent="0.25">
      <c r="A871" s="182"/>
      <c r="B871" s="182"/>
      <c r="C871" s="182"/>
      <c r="D871" s="182"/>
      <c r="E871" s="182"/>
      <c r="F871" s="182"/>
      <c r="G871" s="182"/>
      <c r="H871" s="182"/>
    </row>
    <row r="872" spans="1:17" ht="15" customHeight="1" x14ac:dyDescent="0.25">
      <c r="A872" s="182"/>
      <c r="B872" s="182"/>
      <c r="C872" s="182"/>
      <c r="D872" s="182"/>
      <c r="E872" s="182"/>
      <c r="F872" s="182"/>
      <c r="G872" s="182"/>
      <c r="H872" s="182"/>
    </row>
    <row r="873" spans="1:17" ht="15" customHeight="1" x14ac:dyDescent="0.25">
      <c r="A873" s="182"/>
      <c r="B873" s="182"/>
      <c r="C873" s="182"/>
      <c r="D873" s="182"/>
      <c r="E873" s="182"/>
      <c r="F873" s="182"/>
      <c r="G873" s="182"/>
      <c r="H873" s="182"/>
    </row>
    <row r="874" spans="1:17" ht="15" customHeight="1" x14ac:dyDescent="0.25">
      <c r="A874" s="182"/>
      <c r="B874" s="182"/>
      <c r="C874" s="182"/>
      <c r="D874" s="182"/>
      <c r="E874" s="182"/>
      <c r="F874" s="182"/>
      <c r="G874" s="182"/>
      <c r="H874" s="182"/>
    </row>
    <row r="875" spans="1:17" ht="15" customHeight="1" x14ac:dyDescent="0.25">
      <c r="A875" s="182"/>
      <c r="B875" s="182"/>
      <c r="C875" s="182"/>
      <c r="D875" s="182"/>
      <c r="E875" s="182"/>
      <c r="F875" s="182"/>
      <c r="G875" s="182"/>
      <c r="H875" s="182"/>
    </row>
    <row r="876" spans="1:17" ht="15" customHeight="1" x14ac:dyDescent="0.25">
      <c r="A876" s="182"/>
      <c r="B876" s="182"/>
      <c r="C876" s="182"/>
      <c r="D876" s="182"/>
      <c r="E876" s="182"/>
      <c r="F876" s="182"/>
      <c r="G876" s="182"/>
      <c r="H876" s="182"/>
    </row>
    <row r="877" spans="1:17" ht="15" customHeight="1" x14ac:dyDescent="0.25">
      <c r="A877" s="182"/>
      <c r="B877" s="182"/>
      <c r="C877" s="182"/>
      <c r="D877" s="182"/>
      <c r="E877" s="182"/>
      <c r="F877" s="182"/>
      <c r="G877" s="182"/>
      <c r="H877" s="182"/>
    </row>
    <row r="878" spans="1:17" ht="15" customHeight="1" x14ac:dyDescent="0.25">
      <c r="A878" s="182"/>
      <c r="B878" s="182"/>
      <c r="C878" s="182"/>
      <c r="D878" s="182"/>
      <c r="E878" s="182"/>
      <c r="F878" s="182"/>
      <c r="G878" s="182"/>
      <c r="H878" s="182"/>
    </row>
    <row r="879" spans="1:17" ht="15" customHeight="1" x14ac:dyDescent="0.25">
      <c r="A879" s="182"/>
      <c r="B879" s="182"/>
      <c r="C879" s="182"/>
      <c r="D879" s="182"/>
      <c r="E879" s="182"/>
      <c r="F879" s="182"/>
      <c r="G879" s="182"/>
      <c r="H879" s="182"/>
    </row>
  </sheetData>
  <mergeCells count="5">
    <mergeCell ref="A2:H3"/>
    <mergeCell ref="A5:H5"/>
    <mergeCell ref="A7:H7"/>
    <mergeCell ref="F9:H9"/>
    <mergeCell ref="A11:H11"/>
  </mergeCells>
  <pageMargins left="0" right="0" top="0" bottom="0" header="0" footer="0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16</vt:i4>
      </vt:variant>
      <vt:variant>
        <vt:lpstr>Intervalos Nomeados</vt:lpstr>
      </vt:variant>
      <vt:variant>
        <vt:i4>16</vt:i4>
      </vt:variant>
    </vt:vector>
  </HeadingPairs>
  <TitlesOfParts>
    <vt:vector size="32" baseType="lpstr">
      <vt:lpstr>RESUMO - BM 15 CT</vt:lpstr>
      <vt:lpstr>Memória de Cálculo</vt:lpstr>
      <vt:lpstr>MEMORIA PAVIMENTAÇAO</vt:lpstr>
      <vt:lpstr>PLANILHA - BM 15 CT</vt:lpstr>
      <vt:lpstr>PAVIMENTAÇÃO  - BM 15 CT</vt:lpstr>
      <vt:lpstr>DRENAGEM SUPERFICIAL - BM 15 CT</vt:lpstr>
      <vt:lpstr>MOVIMENTAÇÃO DE TERRA 1</vt:lpstr>
      <vt:lpstr>AQUISIÇÃO DE BGS</vt:lpstr>
      <vt:lpstr> DRENAGEM</vt:lpstr>
      <vt:lpstr>MOV.TERRA 218 A 259</vt:lpstr>
      <vt:lpstr>MOV.TERRA 292 A 307</vt:lpstr>
      <vt:lpstr>MOV. DE TERRA</vt:lpstr>
      <vt:lpstr>CALCULO ADM LOCAL - BM 15 CT</vt:lpstr>
      <vt:lpstr>BM 07 - 2° ADITIVO</vt:lpstr>
      <vt:lpstr>MOV. DE TERRA BM 07 - 2° ADITIV</vt:lpstr>
      <vt:lpstr>MOV. DE MATERIAL BM 07 - 2° ADI</vt:lpstr>
      <vt:lpstr>' DRENAGEM'!Area_de_impressao</vt:lpstr>
      <vt:lpstr>'AQUISIÇÃO DE BGS'!Area_de_impressao</vt:lpstr>
      <vt:lpstr>'BM 07 - 2° ADITIVO'!Area_de_impressao</vt:lpstr>
      <vt:lpstr>'CALCULO ADM LOCAL - BM 15 CT'!Area_de_impressao</vt:lpstr>
      <vt:lpstr>'DRENAGEM SUPERFICIAL - BM 15 CT'!Area_de_impressao</vt:lpstr>
      <vt:lpstr>'Memória de Cálculo'!Area_de_impressao</vt:lpstr>
      <vt:lpstr>'MEMORIA PAVIMENTAÇAO'!Area_de_impressao</vt:lpstr>
      <vt:lpstr>'MOV. DE MATERIAL BM 07 - 2° ADI'!Area_de_impressao</vt:lpstr>
      <vt:lpstr>'MOVIMENTAÇÃO DE TERRA 1'!Area_de_impressao</vt:lpstr>
      <vt:lpstr>'PAVIMENTAÇÃO  - BM 15 CT'!Area_de_impressao</vt:lpstr>
      <vt:lpstr>'PLANILHA - BM 15 CT'!Area_de_impressao</vt:lpstr>
      <vt:lpstr>'RESUMO - BM 15 CT'!Area_de_impressao</vt:lpstr>
      <vt:lpstr>'BM 07 - 2° ADITIVO'!Titulos_de_impressao</vt:lpstr>
      <vt:lpstr>'Memória de Cálculo'!Titulos_de_impressao</vt:lpstr>
      <vt:lpstr>'MOV. DE MATERIAL BM 07 - 2° ADI'!Titulos_de_impressao</vt:lpstr>
      <vt:lpstr>'PLANILHA - BM 15 CT'!Titulos_de_impressao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Leone Rafael</dc:creator>
  <cp:keywords/>
  <dc:description/>
  <cp:lastModifiedBy>Lana Lais Pereira Cruz</cp:lastModifiedBy>
  <cp:revision/>
  <dcterms:created xsi:type="dcterms:W3CDTF">2023-02-08T12:25:36Z</dcterms:created>
  <dcterms:modified xsi:type="dcterms:W3CDTF">2025-07-10T16:43:15Z</dcterms:modified>
  <cp:category/>
  <cp:contentStatus/>
</cp:coreProperties>
</file>