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MINFRA\DIROB\6 - FISCAIS\LANA\Nova EAP\Novas EAPS\Atulização dos Aditivos e BM enviados por DIROB\Ultimos Bm´s Pagos\Rodovia dos Trabalhadores\Unindo\"/>
    </mc:Choice>
  </mc:AlternateContent>
  <xr:revisionPtr revIDLastSave="0" documentId="13_ncr:1_{899C78A6-D3A6-4BFA-BC69-A4A9F293A2F9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Memória de Cálculo" sheetId="5" state="hidden" r:id="rId1"/>
    <sheet name="MEMORIA PAVIMENTAÇAO" sheetId="35" state="hidden" r:id="rId2"/>
    <sheet name="BM 11 do Contrato" sheetId="1" r:id="rId3"/>
    <sheet name="BM 05 do Aditivo" sheetId="45" r:id="rId4"/>
    <sheet name="MOVIMENTAÇÃO DE TERRA" sheetId="31" state="hidden" r:id="rId5"/>
    <sheet name="AQUISIÇÃO DE BGS" sheetId="38" state="hidden" r:id="rId6"/>
    <sheet name=" DRENAGEM" sheetId="34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" hidden="1">#REF!</definedName>
    <definedName name="__123Graph_A" hidden="1">'[1]Cron Bas 2.10'!#REF!</definedName>
    <definedName name="_bar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Fill" hidden="1">#REF!</definedName>
    <definedName name="_xlnm._FilterDatabase" localSheetId="3" hidden="1">'BM 05 do Aditivo'!$A$7:$U$33</definedName>
    <definedName name="_xlnm._FilterDatabase" localSheetId="2" hidden="1">'BM 11 do Contrato'!$A$11:$T$208</definedName>
    <definedName name="_xlnm._FilterDatabase" localSheetId="0" hidden="1">'Memória de Cálculo'!$A$11:$H$208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cumulado" localSheetId="6">#REF!</definedName>
    <definedName name="acumulado" localSheetId="1">#REF!</definedName>
    <definedName name="acumulado">#REF!</definedName>
    <definedName name="ACUMULADO2" localSheetId="6">#REF!</definedName>
    <definedName name="ACUMULADO2">#REF!</definedName>
    <definedName name="A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q_ASF" localSheetId="6">#REF!</definedName>
    <definedName name="Aq_ASF">#REF!</definedName>
    <definedName name="_xlnm.Print_Area" localSheetId="6">' DRENAGEM'!$A$1:$H$39</definedName>
    <definedName name="_xlnm.Print_Area" localSheetId="5">'AQUISIÇÃO DE BGS'!$A$1:$K$101</definedName>
    <definedName name="_xlnm.Print_Area" localSheetId="3">'BM 05 do Aditivo'!$A$1:$P$34</definedName>
    <definedName name="_xlnm.Print_Area" localSheetId="2">'BM 11 do Contrato'!$A$1:$S$209</definedName>
    <definedName name="_xlnm.Print_Area" localSheetId="0">'Memória de Cálculo'!$A$1:$H$209</definedName>
    <definedName name="_xlnm.Print_Area" localSheetId="1">'MEMORIA PAVIMENTAÇAO'!$A$1:$D$39</definedName>
    <definedName name="_xlnm.Print_Area" localSheetId="4">'MOVIMENTAÇÃO DE TERRA'!$A$1:$J$109</definedName>
    <definedName name="A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a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BRIT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becalho" localSheetId="6">#REF!</definedName>
    <definedName name="Cabecalho" localSheetId="1">#REF!</definedName>
    <definedName name="Cabecalho">#REF!</definedName>
    <definedName name="CABEÇALHO2" localSheetId="6">#REF!</definedName>
    <definedName name="CABEÇALHO2" localSheetId="1">#REF!</definedName>
    <definedName name="CABEÇALHO2">#REF!</definedName>
    <definedName name="Carga_SO" localSheetId="6">#REF!</definedName>
    <definedName name="Carga_SO">#REF!</definedName>
    <definedName name="CODENOME1" hidden="1">#N/A</definedName>
    <definedName name="concorrentes" hidden="1">{#N/A,#N/A,FALSE,"Cronograma";#N/A,#N/A,FALSE,"Cronogr. 2"}</definedName>
    <definedName name="database">[2]dez00!$F$1</definedName>
    <definedName name="descobrir" hidden="1">{#N/A,#N/A,FALSE,"Cronograma";#N/A,#N/A,FALSE,"Cronogr. 2"}</definedName>
    <definedName name="descobrir1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descobrir2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descobrir3" hidden="1">{#N/A,#N/A,FALSE,"Cronograma";#N/A,#N/A,FALSE,"Cronogr. 2"}</definedName>
    <definedName name="descobrir4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DESNIVEL" hidden="1">{#N/A,#N/A,FALSE,"RESUMO-BB1";#N/A,#N/A,FALSE,"MOD-A01-R - BB1";#N/A,#N/A,FALSE,"URB-BB1"}</definedName>
    <definedName name="dsf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dital" localSheetId="6">#REF!</definedName>
    <definedName name="edital" localSheetId="1">#REF!</definedName>
    <definedName name="edital">#REF!</definedName>
    <definedName name="EE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F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quipamento">[2]EQUIPAMENTO!$A$1:$E$154</definedName>
    <definedName name="Equipe">#REF!</definedName>
    <definedName name="Equipe_Realizado">[3]Projetado!$L$6:$L$17</definedName>
    <definedName name="ESPESSAMENT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extensao" localSheetId="6">#REF!</definedName>
    <definedName name="extensao" localSheetId="1">#REF!</definedName>
    <definedName name="extensao">#REF!</definedName>
    <definedName name="filtrage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rma1" localSheetId="6">#REF!</definedName>
    <definedName name="firma1">#REF!</definedName>
    <definedName name="firma2" localSheetId="6">#REF!</definedName>
    <definedName name="firma2">#REF!</definedName>
    <definedName name="FLO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LUTUANTE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rupo_total">[4]Instruções!#REF!</definedName>
    <definedName name="HM" localSheetId="6">#REF!</definedName>
    <definedName name="HM">#REF!</definedName>
    <definedName name="I" localSheetId="6">'[5]RESTAURAÇÃO '!#REF!</definedName>
    <definedName name="I" localSheetId="1">'[5]RESTAURAÇÃO '!#REF!</definedName>
    <definedName name="I">'[5]RESTAURAÇÃO '!#REF!</definedName>
    <definedName name="lote" localSheetId="6">#REF!</definedName>
    <definedName name="lote" localSheetId="1">#REF!</definedName>
    <definedName name="lote">#REF!</definedName>
    <definedName name="material">[2]Material!$A$3:$F$230</definedName>
    <definedName name="mes" localSheetId="6">#REF!</definedName>
    <definedName name="mes" localSheetId="1">#REF!</definedName>
    <definedName name="mes">#REF!</definedName>
    <definedName name="MM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w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o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esumo2" localSheetId="6">#REF!</definedName>
    <definedName name="resumo2">#REF!</definedName>
    <definedName name="rodovia" localSheetId="6">#REF!</definedName>
    <definedName name="rodovia">#REF!</definedName>
    <definedName name="sa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" localSheetId="6">#REF!</definedName>
    <definedName name="SD">#REF!</definedName>
    <definedName name="s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ervico">[2]dez00!$A$3:$F$134</definedName>
    <definedName name="SINALIZAÇÃO" localSheetId="6">#REF!</definedName>
    <definedName name="SINALIZAÇÃO" localSheetId="1">#REF!</definedName>
    <definedName name="SINALIZAÇÃO">#REF!</definedName>
    <definedName name="SO" localSheetId="6">#REF!</definedName>
    <definedName name="SO">#REF!</definedName>
    <definedName name="SP" localSheetId="6">#REF!</definedName>
    <definedName name="SP">#REF!</definedName>
    <definedName name="SS" hidden="1">[6]Plan4!#REF!</definedName>
    <definedName name="ST" localSheetId="6">#REF!</definedName>
    <definedName name="ST">#REF!</definedName>
    <definedName name="ST_HM" localSheetId="6">#REF!</definedName>
    <definedName name="ST_HM">#REF!</definedName>
    <definedName name="ST_SO" localSheetId="6">#REF!</definedName>
    <definedName name="ST_SO">#REF!</definedName>
    <definedName name="ST_SP" localSheetId="6">#REF!</definedName>
    <definedName name="ST_SP">#REF!</definedName>
    <definedName name="ST_ST" localSheetId="6">#REF!</definedName>
    <definedName name="ST_ST">#REF!</definedName>
    <definedName name="Sub_GERAL" localSheetId="6">#REF!</definedName>
    <definedName name="Sub_GERAL">#REF!</definedName>
    <definedName name="subtrecho" localSheetId="6">#REF!</definedName>
    <definedName name="subtrecho">#REF!</definedName>
    <definedName name="TABELA_SD" localSheetId="6">#REF!</definedName>
    <definedName name="TABELA_SD">#REF!</definedName>
    <definedName name="TABELA_SO" localSheetId="6">#REF!</definedName>
    <definedName name="TABELA_SO">#REF!</definedName>
    <definedName name="TABELA_SP" localSheetId="6">#REF!</definedName>
    <definedName name="TABELA_SP">#REF!</definedName>
    <definedName name="TABELA_ST" localSheetId="6">#REF!</definedName>
    <definedName name="TABELA_ST">#REF!</definedName>
    <definedName name="teste25" hidden="1">'[1]Cron Bas 2.10'!#REF!</definedName>
    <definedName name="_xlnm.Print_Titles" localSheetId="3">'BM 05 do Aditivo'!$1:$7</definedName>
    <definedName name="_xlnm.Print_Titles" localSheetId="2">'BM 11 do Contrato'!$1:$11</definedName>
    <definedName name="_xlnm.Print_Titles" localSheetId="0">'Memória de Cálculo'!$1:$11</definedName>
    <definedName name="Transporte_ASF" localSheetId="6">#REF!</definedName>
    <definedName name="Transporte_ASF" localSheetId="1">#REF!</definedName>
    <definedName name="Transporte_ASF">#REF!</definedName>
    <definedName name="Transporte_da_folha_anterior" localSheetId="6">#REF!</definedName>
    <definedName name="Transporte_da_folha_anterior">#REF!</definedName>
    <definedName name="transporte_massa" localSheetId="6">#REF!</definedName>
    <definedName name="transporte_massa">#REF!</definedName>
    <definedName name="Transporte_SO" localSheetId="6">#REF!</definedName>
    <definedName name="Transporte_SO">#REF!</definedName>
    <definedName name="Transporte_SP" localSheetId="6">#REF!</definedName>
    <definedName name="Transporte_SP">#REF!</definedName>
    <definedName name="Transportr_ST" localSheetId="6">#REF!</definedName>
    <definedName name="Transportr_ST">#REF!</definedName>
    <definedName name="trecho" localSheetId="6">#REF!</definedName>
    <definedName name="trecho">#REF!</definedName>
    <definedName name="VI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n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BB1." hidden="1">{#N/A,#N/A,FALSE,"RESUMO-BB1";#N/A,#N/A,FALSE,"MOD-A01-R - BB1";#N/A,#N/A,FALSE,"URB-BB1"}</definedName>
    <definedName name="wrn.BB2" hidden="1">{#N/A,#N/A,FALSE,"RESUMO-BB1";#N/A,#N/A,FALSE,"MOD-A01-R - BB1";#N/A,#N/A,FALSE,"URB-BB1"}</definedName>
    <definedName name="wrn.BETER." hidden="1">{#N/A,#N/A,FALSE,"BETER -1";#N/A,#N/A,FALSE,"BETER -2";#N/A,#N/A,FALSE,"BETER -3";#N/A,#N/A,FALSE,"BETER -urb";#N/A,#N/A,FALSE,"BETER -RESUMO"}</definedName>
    <definedName name="wrn.Caixa._.de._.Ferramentas." hidden="1">{#N/A,#N/A,FALSE,"Eletricista";#N/A,#N/A,FALSE,"Mec. Refrig.";#N/A,#N/A,FALSE,"Civil";#N/A,#N/A,FALSE,"Civ";#N/A,#N/A,FALSE,"Serralheiro";#N/A,#N/A,FALSE,"Encanador";#N/A,#N/A,FALSE,"Eletr.";#N/A,#N/A,FALSE,"EL";#N/A,#N/A,FALSE,"Mec.Refrig.";#N/A,#N/A,FALSE,"Serv. Civ.";#N/A,#N/A,FALSE,"MMO";#N/A,#N/A,FALSE,"EN - CA";#N/A,#N/A,FALSE,"EL - ELT";#N/A,#N/A,FALSE,"PE";#N/A,#N/A,FALSE,"CARP";#N/A,#N/A,FALSE,"TAPEC";#N/A,#N/A,FALSE,"FU";#N/A,#N/A,FALSE,"Mec. Manut.";#N/A,#N/A,FALSE,"SO";#N/A,#N/A,FALSE,"Marc."}</definedName>
    <definedName name="wrn.Caixa._.de._.Ferramentas._.Individuais." hidden="1">{#N/A,#N/A,FALSE,"Eletricista";#N/A,#N/A,FALSE,"Mecânico de Refrigeração";#N/A,#N/A,FALSE,"Obra civil";#N/A,#N/A,FALSE,"Serralheiro e Mecânico Montador";#N/A,#N/A,FALSE,"Encanador e Caldeireiro";#N/A,#N/A,FALSE,"Eletricista eletrônico";#N/A,#N/A,FALSE,"Pedreiro";#N/A,#N/A,FALSE,"Carpinteiro";#N/A,#N/A,FALSE,"Tapeceiro";#N/A,#N/A,FALSE,"Funileiro";#N/A,#N/A,FALSE,"Mecânico de Manutenção";#N/A,#N/A,FALSE,"Soldador";#N/A,#N/A,FALSE,"Marceneiro";#N/A,#N/A,FALSE,"Laminador"}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impressao." hidden="1">{#N/A,#N/A,FALSE,"FASE1";#N/A,#N/A,FALSE,"FASE2";#N/A,#N/A,FALSE,"FASE3";#N/A,#N/A,FALSE,"FASE4";#N/A,#N/A,FALSE,"FASE5";#N/A,#N/A,FALSE,"FASE6";#N/A,#N/A,FALSE,"FASE7";#N/A,#N/A,FALSE,"FASE8";#N/A,#N/A,FALSE,"FASE9";#N/A,#N/A,FALSE,"FASE10";#N/A,#N/A,FALSE,"EQUIPAMENTOS";#N/A,#N/A,FALSE,"MOI";#N/A,#N/A,FALSE,"CANTEIRO";#N/A,#N/A,FALSE,"TERCEIROS";#N/A,#N/A,FALSE,"DCO";#N/A,#N/A,FALSE,"RESUMO"}</definedName>
    <definedName name="WRN.PEN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4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45" l="1"/>
  <c r="Q32" i="45"/>
  <c r="P32" i="45"/>
  <c r="N32" i="45"/>
  <c r="X32" i="45" s="1"/>
  <c r="M32" i="45"/>
  <c r="L32" i="45"/>
  <c r="K32" i="45"/>
  <c r="S32" i="45" s="1"/>
  <c r="I32" i="45"/>
  <c r="H32" i="45"/>
  <c r="Q31" i="45"/>
  <c r="M31" i="45"/>
  <c r="P31" i="45" s="1"/>
  <c r="L31" i="45"/>
  <c r="K31" i="45"/>
  <c r="H31" i="45"/>
  <c r="N31" i="45" s="1"/>
  <c r="Q30" i="45"/>
  <c r="L30" i="45"/>
  <c r="Q29" i="45"/>
  <c r="M29" i="45"/>
  <c r="P29" i="45" s="1"/>
  <c r="L29" i="45"/>
  <c r="K29" i="45"/>
  <c r="S29" i="45" s="1"/>
  <c r="H29" i="45"/>
  <c r="N29" i="45" s="1"/>
  <c r="X29" i="45" s="1"/>
  <c r="R28" i="45"/>
  <c r="Q28" i="45"/>
  <c r="P28" i="45"/>
  <c r="N28" i="45"/>
  <c r="X28" i="45" s="1"/>
  <c r="M28" i="45"/>
  <c r="L28" i="45"/>
  <c r="L26" i="45" s="1"/>
  <c r="L25" i="45" s="1"/>
  <c r="K28" i="45"/>
  <c r="S28" i="45" s="1"/>
  <c r="I28" i="45"/>
  <c r="H28" i="45"/>
  <c r="Q27" i="45"/>
  <c r="M27" i="45"/>
  <c r="R27" i="45" s="1"/>
  <c r="L27" i="45"/>
  <c r="K27" i="45"/>
  <c r="S27" i="45" s="1"/>
  <c r="H27" i="45"/>
  <c r="N27" i="45" s="1"/>
  <c r="W26" i="45"/>
  <c r="Q26" i="45"/>
  <c r="K26" i="45"/>
  <c r="W25" i="45"/>
  <c r="Q25" i="45"/>
  <c r="R24" i="45"/>
  <c r="Q24" i="45"/>
  <c r="P24" i="45"/>
  <c r="N24" i="45"/>
  <c r="X24" i="45" s="1"/>
  <c r="M24" i="45"/>
  <c r="L24" i="45"/>
  <c r="L23" i="45" s="1"/>
  <c r="L22" i="45" s="1"/>
  <c r="K24" i="45"/>
  <c r="S24" i="45" s="1"/>
  <c r="I24" i="45"/>
  <c r="H24" i="45"/>
  <c r="Q23" i="45"/>
  <c r="M23" i="45"/>
  <c r="P23" i="45" s="1"/>
  <c r="K23" i="45"/>
  <c r="K22" i="45" s="1"/>
  <c r="S22" i="45" s="1"/>
  <c r="Q22" i="45"/>
  <c r="Q21" i="45"/>
  <c r="M21" i="45"/>
  <c r="R21" i="45" s="1"/>
  <c r="L21" i="45"/>
  <c r="K21" i="45"/>
  <c r="S21" i="45" s="1"/>
  <c r="H21" i="45"/>
  <c r="N21" i="45" s="1"/>
  <c r="X21" i="45" s="1"/>
  <c r="G21" i="45"/>
  <c r="Q20" i="45"/>
  <c r="M20" i="45"/>
  <c r="P20" i="45" s="1"/>
  <c r="L20" i="45"/>
  <c r="K20" i="45"/>
  <c r="S20" i="45" s="1"/>
  <c r="H20" i="45"/>
  <c r="N20" i="45" s="1"/>
  <c r="X20" i="45" s="1"/>
  <c r="G20" i="45"/>
  <c r="Q19" i="45"/>
  <c r="M19" i="45"/>
  <c r="R19" i="45" s="1"/>
  <c r="L19" i="45"/>
  <c r="K19" i="45"/>
  <c r="S19" i="45" s="1"/>
  <c r="H19" i="45"/>
  <c r="N19" i="45" s="1"/>
  <c r="X19" i="45" s="1"/>
  <c r="G19" i="45"/>
  <c r="Q18" i="45"/>
  <c r="M18" i="45"/>
  <c r="P18" i="45" s="1"/>
  <c r="L18" i="45"/>
  <c r="K18" i="45"/>
  <c r="H18" i="45"/>
  <c r="N18" i="45" s="1"/>
  <c r="X18" i="45" s="1"/>
  <c r="G18" i="45"/>
  <c r="Q17" i="45"/>
  <c r="M17" i="45"/>
  <c r="R17" i="45" s="1"/>
  <c r="L17" i="45"/>
  <c r="K17" i="45"/>
  <c r="S17" i="45" s="1"/>
  <c r="H17" i="45"/>
  <c r="N17" i="45" s="1"/>
  <c r="X17" i="45" s="1"/>
  <c r="R16" i="45"/>
  <c r="Q16" i="45"/>
  <c r="P16" i="45"/>
  <c r="N16" i="45"/>
  <c r="X16" i="45" s="1"/>
  <c r="M16" i="45"/>
  <c r="L16" i="45"/>
  <c r="K16" i="45"/>
  <c r="S16" i="45" s="1"/>
  <c r="I16" i="45"/>
  <c r="H16" i="45"/>
  <c r="Q15" i="45"/>
  <c r="M15" i="45"/>
  <c r="L15" i="45"/>
  <c r="K15" i="45"/>
  <c r="S15" i="45" s="1"/>
  <c r="H15" i="45"/>
  <c r="N15" i="45" s="1"/>
  <c r="X15" i="45" s="1"/>
  <c r="G15" i="45"/>
  <c r="Q14" i="45"/>
  <c r="M14" i="45"/>
  <c r="L14" i="45"/>
  <c r="K14" i="45"/>
  <c r="H14" i="45"/>
  <c r="R13" i="45"/>
  <c r="Q13" i="45"/>
  <c r="P13" i="45"/>
  <c r="N13" i="45"/>
  <c r="X13" i="45" s="1"/>
  <c r="M13" i="45"/>
  <c r="L13" i="45"/>
  <c r="L11" i="45" s="1"/>
  <c r="L10" i="45" s="1"/>
  <c r="K13" i="45"/>
  <c r="S13" i="45" s="1"/>
  <c r="I13" i="45"/>
  <c r="H13" i="45"/>
  <c r="Q12" i="45"/>
  <c r="M12" i="45"/>
  <c r="P12" i="45" s="1"/>
  <c r="L12" i="45"/>
  <c r="K12" i="45"/>
  <c r="S12" i="45" s="1"/>
  <c r="H12" i="45"/>
  <c r="N12" i="45" s="1"/>
  <c r="R14" i="45" l="1"/>
  <c r="P14" i="45"/>
  <c r="M11" i="45"/>
  <c r="O15" i="45"/>
  <c r="T15" i="45" s="1"/>
  <c r="X31" i="45"/>
  <c r="N30" i="45"/>
  <c r="X30" i="45" s="1"/>
  <c r="X12" i="45"/>
  <c r="O12" i="45"/>
  <c r="N14" i="45"/>
  <c r="X14" i="45" s="1"/>
  <c r="I14" i="45"/>
  <c r="T17" i="45"/>
  <c r="T19" i="45"/>
  <c r="O31" i="45"/>
  <c r="T13" i="45"/>
  <c r="S14" i="45"/>
  <c r="T29" i="45"/>
  <c r="K11" i="45"/>
  <c r="K10" i="45" s="1"/>
  <c r="K9" i="45" s="1"/>
  <c r="L9" i="45"/>
  <c r="L33" i="45" s="1"/>
  <c r="L8" i="45" s="1"/>
  <c r="P15" i="45"/>
  <c r="O18" i="45"/>
  <c r="T20" i="45"/>
  <c r="X27" i="45"/>
  <c r="N26" i="45"/>
  <c r="T32" i="45"/>
  <c r="O17" i="45"/>
  <c r="O19" i="45"/>
  <c r="O21" i="45"/>
  <c r="T21" i="45" s="1"/>
  <c r="M26" i="45"/>
  <c r="O27" i="45"/>
  <c r="I12" i="45"/>
  <c r="R12" i="45"/>
  <c r="I15" i="45"/>
  <c r="R15" i="45"/>
  <c r="P17" i="45"/>
  <c r="I18" i="45"/>
  <c r="R18" i="45"/>
  <c r="P19" i="45"/>
  <c r="I20" i="45"/>
  <c r="R20" i="45"/>
  <c r="P21" i="45"/>
  <c r="M22" i="45"/>
  <c r="N23" i="45"/>
  <c r="R23" i="45"/>
  <c r="P27" i="45"/>
  <c r="O28" i="45"/>
  <c r="T28" i="45" s="1"/>
  <c r="I29" i="45"/>
  <c r="R29" i="45"/>
  <c r="K30" i="45"/>
  <c r="S30" i="45" s="1"/>
  <c r="I31" i="45"/>
  <c r="R31" i="45"/>
  <c r="S18" i="45"/>
  <c r="T18" i="45" s="1"/>
  <c r="O20" i="45"/>
  <c r="S23" i="45"/>
  <c r="S26" i="45"/>
  <c r="S31" i="45"/>
  <c r="T31" i="45" s="1"/>
  <c r="O29" i="45"/>
  <c r="O13" i="45"/>
  <c r="O16" i="45"/>
  <c r="T16" i="45" s="1"/>
  <c r="I17" i="45"/>
  <c r="I19" i="45"/>
  <c r="I21" i="45"/>
  <c r="O24" i="45"/>
  <c r="O23" i="45" s="1"/>
  <c r="O22" i="45" s="1"/>
  <c r="T22" i="45" s="1"/>
  <c r="I27" i="45"/>
  <c r="M30" i="45"/>
  <c r="O32" i="45"/>
  <c r="K33" i="45" l="1"/>
  <c r="K8" i="45" s="1"/>
  <c r="T14" i="45"/>
  <c r="N22" i="45"/>
  <c r="X22" i="45" s="1"/>
  <c r="X23" i="45"/>
  <c r="X26" i="45"/>
  <c r="N25" i="45"/>
  <c r="P11" i="45"/>
  <c r="M10" i="45"/>
  <c r="T12" i="45"/>
  <c r="T23" i="45"/>
  <c r="R22" i="45"/>
  <c r="P22" i="45"/>
  <c r="O26" i="45"/>
  <c r="O30" i="45"/>
  <c r="T27" i="45"/>
  <c r="P30" i="45"/>
  <c r="R30" i="45"/>
  <c r="T30" i="45"/>
  <c r="P26" i="45"/>
  <c r="R26" i="45"/>
  <c r="M25" i="45"/>
  <c r="O14" i="45"/>
  <c r="O11" i="45" s="1"/>
  <c r="O10" i="45" s="1"/>
  <c r="O9" i="45" s="1"/>
  <c r="T24" i="45"/>
  <c r="N11" i="45"/>
  <c r="N10" i="45" s="1"/>
  <c r="N9" i="45" s="1"/>
  <c r="N33" i="45" s="1"/>
  <c r="N8" i="45" s="1"/>
  <c r="K25" i="45"/>
  <c r="S25" i="45" s="1"/>
  <c r="O33" i="45" l="1"/>
  <c r="O8" i="45" s="1"/>
  <c r="P10" i="45"/>
  <c r="M9" i="45"/>
  <c r="T25" i="45"/>
  <c r="P25" i="45"/>
  <c r="R25" i="45"/>
  <c r="O25" i="45"/>
  <c r="X25" i="45"/>
  <c r="T26" i="45"/>
  <c r="P9" i="45" l="1"/>
  <c r="M33" i="45"/>
  <c r="P33" i="45" l="1"/>
  <c r="M8" i="45"/>
  <c r="P8" i="45" s="1"/>
  <c r="G60" i="1" l="1"/>
  <c r="H86" i="1" l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G202" i="1" l="1"/>
  <c r="G206" i="1" s="1"/>
  <c r="G128" i="1" l="1"/>
  <c r="G135" i="1" l="1"/>
  <c r="G148" i="1"/>
  <c r="G152" i="1"/>
  <c r="G154" i="1" s="1"/>
  <c r="G155" i="1" s="1"/>
  <c r="G200" i="1"/>
  <c r="G204" i="1" s="1"/>
  <c r="G145" i="1" l="1"/>
  <c r="G138" i="1"/>
  <c r="G139" i="1" l="1"/>
  <c r="C23" i="35" l="1"/>
  <c r="C22" i="35"/>
  <c r="B16" i="35"/>
  <c r="B17" i="35" s="1"/>
  <c r="B18" i="35" s="1"/>
  <c r="B15" i="35"/>
  <c r="B29" i="35" s="1"/>
  <c r="D9" i="35"/>
  <c r="J94" i="38"/>
  <c r="B97" i="38" s="1"/>
  <c r="B28" i="35" s="1"/>
  <c r="B96" i="38" l="1"/>
  <c r="B27" i="35" s="1"/>
  <c r="J88" i="31"/>
  <c r="F8" i="34" l="1"/>
  <c r="D12" i="34" l="1"/>
  <c r="D31" i="34"/>
  <c r="F31" i="34" s="1"/>
  <c r="D30" i="34"/>
  <c r="D26" i="34"/>
  <c r="D24" i="34"/>
  <c r="D25" i="34"/>
  <c r="F9" i="34"/>
  <c r="D18" i="34"/>
  <c r="D17" i="34"/>
  <c r="D16" i="34"/>
  <c r="D27" i="34" l="1"/>
  <c r="D28" i="34" s="1"/>
  <c r="D19" i="34"/>
  <c r="D20" i="34" s="1"/>
  <c r="F30" i="34" s="1"/>
  <c r="J87" i="31" l="1"/>
  <c r="E104" i="31" s="1"/>
  <c r="F104" i="31" s="1"/>
  <c r="E101" i="31"/>
  <c r="E100" i="31"/>
  <c r="E99" i="31"/>
  <c r="E98" i="31"/>
  <c r="E97" i="31"/>
  <c r="E96" i="31"/>
  <c r="E95" i="31"/>
  <c r="E94" i="31"/>
  <c r="E102" i="31" l="1"/>
  <c r="G193" i="1" l="1"/>
  <c r="G194" i="1" s="1"/>
  <c r="G195" i="1" s="1"/>
  <c r="H17" i="1" l="1"/>
  <c r="F8" i="5"/>
  <c r="F9" i="5"/>
  <c r="G67" i="5"/>
  <c r="G66" i="5"/>
  <c r="G105" i="5"/>
  <c r="G106" i="5"/>
  <c r="G133" i="5"/>
  <c r="G132" i="5"/>
  <c r="J48" i="5"/>
  <c r="J47" i="5"/>
  <c r="G47" i="5" s="1"/>
  <c r="J46" i="5"/>
  <c r="J45" i="5"/>
  <c r="G45" i="5" s="1"/>
  <c r="J44" i="5"/>
  <c r="G44" i="5" s="1"/>
  <c r="J43" i="5"/>
  <c r="G43" i="5" s="1"/>
  <c r="J42" i="5"/>
  <c r="G42" i="5" s="1"/>
  <c r="J41" i="5"/>
  <c r="G41" i="5" s="1"/>
  <c r="J40" i="5"/>
  <c r="J39" i="5"/>
  <c r="G39" i="5" s="1"/>
  <c r="J38" i="5"/>
  <c r="G38" i="5" s="1"/>
  <c r="J37" i="5"/>
  <c r="G37" i="5" s="1"/>
  <c r="J36" i="5"/>
  <c r="G36" i="5" s="1"/>
  <c r="J35" i="5"/>
  <c r="G35" i="5" s="1"/>
  <c r="J34" i="5"/>
  <c r="J33" i="5"/>
  <c r="G33" i="5" s="1"/>
  <c r="J32" i="5"/>
  <c r="J31" i="5"/>
  <c r="G31" i="5" s="1"/>
  <c r="J30" i="5"/>
  <c r="G30" i="5" s="1"/>
  <c r="J29" i="5"/>
  <c r="G29" i="5" s="1"/>
  <c r="J28" i="5"/>
  <c r="G28" i="5" s="1"/>
  <c r="J27" i="5"/>
  <c r="J26" i="5"/>
  <c r="G26" i="5" s="1"/>
  <c r="J25" i="5"/>
  <c r="G25" i="5"/>
  <c r="G48" i="5"/>
  <c r="V25" i="1"/>
  <c r="K53" i="1"/>
  <c r="G69" i="5" l="1"/>
  <c r="V41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2" i="1"/>
  <c r="V43" i="1"/>
  <c r="V44" i="1"/>
  <c r="V45" i="1"/>
  <c r="V46" i="1"/>
  <c r="V47" i="1"/>
  <c r="H47" i="1" s="1"/>
  <c r="V48" i="1"/>
  <c r="H48" i="1" s="1"/>
  <c r="V26" i="1"/>
  <c r="H205" i="1" l="1"/>
  <c r="I205" i="1" s="1"/>
  <c r="P205" i="1" s="1"/>
  <c r="H206" i="1"/>
  <c r="I206" i="1" s="1"/>
  <c r="P206" i="1" s="1"/>
  <c r="H204" i="1"/>
  <c r="I204" i="1" s="1"/>
  <c r="P204" i="1" s="1"/>
  <c r="L205" i="1"/>
  <c r="M205" i="1"/>
  <c r="N205" i="1"/>
  <c r="Q205" i="1" s="1"/>
  <c r="L206" i="1"/>
  <c r="M206" i="1"/>
  <c r="N206" i="1"/>
  <c r="N204" i="1"/>
  <c r="M204" i="1"/>
  <c r="L204" i="1"/>
  <c r="N201" i="1"/>
  <c r="N202" i="1"/>
  <c r="N200" i="1"/>
  <c r="M201" i="1"/>
  <c r="M202" i="1"/>
  <c r="M200" i="1"/>
  <c r="H201" i="1"/>
  <c r="I201" i="1" s="1"/>
  <c r="P201" i="1" s="1"/>
  <c r="H202" i="1"/>
  <c r="O202" i="1" s="1"/>
  <c r="H200" i="1"/>
  <c r="O200" i="1" s="1"/>
  <c r="Y200" i="1" s="1"/>
  <c r="L201" i="1"/>
  <c r="L202" i="1"/>
  <c r="L200" i="1"/>
  <c r="Y202" i="1" l="1"/>
  <c r="S204" i="1"/>
  <c r="Q204" i="1"/>
  <c r="S205" i="1"/>
  <c r="Q202" i="1"/>
  <c r="M199" i="1"/>
  <c r="R200" i="1"/>
  <c r="Q201" i="1"/>
  <c r="R202" i="1"/>
  <c r="L203" i="1"/>
  <c r="S201" i="1"/>
  <c r="S206" i="1"/>
  <c r="Q206" i="1"/>
  <c r="Q200" i="1"/>
  <c r="I191" i="5"/>
  <c r="M203" i="1"/>
  <c r="N199" i="1"/>
  <c r="O204" i="1"/>
  <c r="O201" i="1"/>
  <c r="O205" i="1"/>
  <c r="N203" i="1"/>
  <c r="P203" i="1"/>
  <c r="L199" i="1"/>
  <c r="O206" i="1"/>
  <c r="I200" i="1"/>
  <c r="P200" i="1" s="1"/>
  <c r="S200" i="1" s="1"/>
  <c r="I202" i="1"/>
  <c r="P202" i="1" s="1"/>
  <c r="S202" i="1" s="1"/>
  <c r="R205" i="1" l="1"/>
  <c r="Y205" i="1"/>
  <c r="R206" i="1"/>
  <c r="Y206" i="1"/>
  <c r="R201" i="1"/>
  <c r="Y201" i="1"/>
  <c r="R204" i="1"/>
  <c r="Y204" i="1"/>
  <c r="L198" i="1"/>
  <c r="S203" i="1"/>
  <c r="Q199" i="1"/>
  <c r="M198" i="1"/>
  <c r="N198" i="1"/>
  <c r="Q203" i="1"/>
  <c r="P199" i="1"/>
  <c r="O199" i="1"/>
  <c r="O203" i="1"/>
  <c r="Q198" i="1" l="1"/>
  <c r="R203" i="1"/>
  <c r="Y203" i="1"/>
  <c r="R199" i="1"/>
  <c r="Y199" i="1"/>
  <c r="P198" i="1"/>
  <c r="S199" i="1"/>
  <c r="O198" i="1"/>
  <c r="H197" i="1"/>
  <c r="H190" i="1"/>
  <c r="I190" i="1" s="1"/>
  <c r="H189" i="1"/>
  <c r="H185" i="1"/>
  <c r="I185" i="1" s="1"/>
  <c r="H186" i="1"/>
  <c r="I186" i="1" s="1"/>
  <c r="H187" i="1"/>
  <c r="I187" i="1" s="1"/>
  <c r="H184" i="1"/>
  <c r="H180" i="1"/>
  <c r="H181" i="1"/>
  <c r="I181" i="1" s="1"/>
  <c r="H182" i="1"/>
  <c r="H179" i="1"/>
  <c r="I179" i="1" s="1"/>
  <c r="H177" i="1"/>
  <c r="I177" i="1" s="1"/>
  <c r="H176" i="1"/>
  <c r="H170" i="1"/>
  <c r="I170" i="1" s="1"/>
  <c r="H171" i="1"/>
  <c r="I171" i="1" s="1"/>
  <c r="H172" i="1"/>
  <c r="I172" i="1" s="1"/>
  <c r="H173" i="1"/>
  <c r="I173" i="1" s="1"/>
  <c r="H169" i="1"/>
  <c r="H162" i="1"/>
  <c r="H163" i="1"/>
  <c r="H164" i="1"/>
  <c r="H165" i="1"/>
  <c r="I165" i="1" s="1"/>
  <c r="H166" i="1"/>
  <c r="H167" i="1"/>
  <c r="H161" i="1"/>
  <c r="H158" i="1"/>
  <c r="H157" i="1"/>
  <c r="H155" i="1"/>
  <c r="H152" i="1"/>
  <c r="H150" i="1"/>
  <c r="I150" i="1" s="1"/>
  <c r="H148" i="1"/>
  <c r="H145" i="1"/>
  <c r="I145" i="1" s="1"/>
  <c r="H143" i="1"/>
  <c r="H142" i="1"/>
  <c r="H139" i="1"/>
  <c r="I139" i="1" s="1"/>
  <c r="H140" i="1"/>
  <c r="H138" i="1"/>
  <c r="I138" i="1" s="1"/>
  <c r="H135" i="1"/>
  <c r="I135" i="1" s="1"/>
  <c r="H132" i="1"/>
  <c r="I132" i="1" s="1"/>
  <c r="H133" i="1"/>
  <c r="H131" i="1"/>
  <c r="H128" i="1"/>
  <c r="H125" i="1"/>
  <c r="H122" i="1"/>
  <c r="I122" i="1" s="1"/>
  <c r="H123" i="1"/>
  <c r="I123" i="1" s="1"/>
  <c r="H121" i="1"/>
  <c r="H115" i="1"/>
  <c r="I115" i="1" s="1"/>
  <c r="H116" i="1"/>
  <c r="I116" i="1" s="1"/>
  <c r="H117" i="1"/>
  <c r="H118" i="1"/>
  <c r="H119" i="1"/>
  <c r="I119" i="1" s="1"/>
  <c r="H114" i="1"/>
  <c r="H76" i="1"/>
  <c r="I76" i="1" s="1"/>
  <c r="H77" i="1"/>
  <c r="H78" i="1"/>
  <c r="H81" i="1"/>
  <c r="I81" i="1" s="1"/>
  <c r="H82" i="1"/>
  <c r="I82" i="1" s="1"/>
  <c r="H83" i="1"/>
  <c r="I83" i="1" s="1"/>
  <c r="H84" i="1"/>
  <c r="I84" i="1" s="1"/>
  <c r="H85" i="1"/>
  <c r="I86" i="1"/>
  <c r="I92" i="1"/>
  <c r="I93" i="1"/>
  <c r="I96" i="1"/>
  <c r="I97" i="1"/>
  <c r="I98" i="1"/>
  <c r="I99" i="1"/>
  <c r="I102" i="1"/>
  <c r="H104" i="1"/>
  <c r="H105" i="1"/>
  <c r="H106" i="1"/>
  <c r="H107" i="1"/>
  <c r="I107" i="1" s="1"/>
  <c r="H108" i="1"/>
  <c r="H109" i="1"/>
  <c r="H110" i="1"/>
  <c r="I110" i="1" s="1"/>
  <c r="H111" i="1"/>
  <c r="I111" i="1" s="1"/>
  <c r="H112" i="1"/>
  <c r="I112" i="1" s="1"/>
  <c r="H65" i="1"/>
  <c r="I65" i="1" s="1"/>
  <c r="H66" i="1"/>
  <c r="I66" i="1" s="1"/>
  <c r="H67" i="1"/>
  <c r="H68" i="1"/>
  <c r="I68" i="1" s="1"/>
  <c r="H69" i="1"/>
  <c r="I69" i="1" s="1"/>
  <c r="H70" i="1"/>
  <c r="H71" i="1"/>
  <c r="I71" i="1" s="1"/>
  <c r="H64" i="1"/>
  <c r="I64" i="1" s="1"/>
  <c r="H53" i="1"/>
  <c r="I53" i="1" s="1"/>
  <c r="H54" i="1"/>
  <c r="I54" i="1" s="1"/>
  <c r="H55" i="1"/>
  <c r="H56" i="1"/>
  <c r="H57" i="1"/>
  <c r="H58" i="1"/>
  <c r="I58" i="1" s="1"/>
  <c r="H59" i="1"/>
  <c r="H60" i="1"/>
  <c r="I60" i="1" s="1"/>
  <c r="H52" i="1"/>
  <c r="I48" i="1"/>
  <c r="I47" i="1"/>
  <c r="H42" i="1"/>
  <c r="I42" i="1" s="1"/>
  <c r="H43" i="1"/>
  <c r="H44" i="1"/>
  <c r="H45" i="1"/>
  <c r="I45" i="1" s="1"/>
  <c r="H41" i="1"/>
  <c r="I41" i="1" s="1"/>
  <c r="H36" i="1"/>
  <c r="H37" i="1"/>
  <c r="I37" i="1" s="1"/>
  <c r="H38" i="1"/>
  <c r="I38" i="1" s="1"/>
  <c r="H39" i="1"/>
  <c r="I39" i="1" s="1"/>
  <c r="H35" i="1"/>
  <c r="I35" i="1" s="1"/>
  <c r="H33" i="1"/>
  <c r="I33" i="1" s="1"/>
  <c r="H29" i="1"/>
  <c r="H30" i="1"/>
  <c r="I30" i="1" s="1"/>
  <c r="H31" i="1"/>
  <c r="H28" i="1"/>
  <c r="H26" i="1"/>
  <c r="H22" i="1"/>
  <c r="H18" i="1"/>
  <c r="I18" i="1" s="1"/>
  <c r="H19" i="1"/>
  <c r="H20" i="1"/>
  <c r="I17" i="1"/>
  <c r="H15" i="1"/>
  <c r="N15" i="1"/>
  <c r="R198" i="1" l="1"/>
  <c r="Y198" i="1"/>
  <c r="I78" i="1"/>
  <c r="I152" i="1"/>
  <c r="H154" i="1"/>
  <c r="I154" i="1" s="1"/>
  <c r="S198" i="1"/>
  <c r="J191" i="5"/>
  <c r="J193" i="5" s="1"/>
  <c r="M15" i="1"/>
  <c r="M14" i="1" s="1"/>
  <c r="I117" i="1"/>
  <c r="I88" i="1"/>
  <c r="I95" i="1"/>
  <c r="I108" i="1"/>
  <c r="I101" i="1"/>
  <c r="I94" i="1"/>
  <c r="I100" i="1"/>
  <c r="I43" i="1"/>
  <c r="I143" i="1"/>
  <c r="I20" i="1"/>
  <c r="I57" i="1"/>
  <c r="I131" i="1"/>
  <c r="I19" i="1"/>
  <c r="I26" i="1"/>
  <c r="I28" i="1"/>
  <c r="I118" i="1"/>
  <c r="I128" i="1"/>
  <c r="I142" i="1"/>
  <c r="I163" i="1"/>
  <c r="I176" i="1"/>
  <c r="I85" i="1"/>
  <c r="O15" i="1"/>
  <c r="I197" i="1"/>
  <c r="I114" i="1"/>
  <c r="I56" i="1"/>
  <c r="N14" i="1"/>
  <c r="I31" i="1"/>
  <c r="I15" i="1"/>
  <c r="P15" i="1" s="1"/>
  <c r="I59" i="1"/>
  <c r="I70" i="1"/>
  <c r="I104" i="1"/>
  <c r="I180" i="1"/>
  <c r="I133" i="1"/>
  <c r="I52" i="1"/>
  <c r="I125" i="1"/>
  <c r="I148" i="1"/>
  <c r="I169" i="1"/>
  <c r="I22" i="1"/>
  <c r="I140" i="1"/>
  <c r="I167" i="1"/>
  <c r="I44" i="1"/>
  <c r="I157" i="1"/>
  <c r="I166" i="1"/>
  <c r="I89" i="1"/>
  <c r="I184" i="1"/>
  <c r="I121" i="1"/>
  <c r="I55" i="1"/>
  <c r="I67" i="1"/>
  <c r="I109" i="1"/>
  <c r="I103" i="1"/>
  <c r="I77" i="1"/>
  <c r="I164" i="1"/>
  <c r="I36" i="1"/>
  <c r="I91" i="1"/>
  <c r="I90" i="1"/>
  <c r="I161" i="1"/>
  <c r="I155" i="1"/>
  <c r="I189" i="1"/>
  <c r="I29" i="1"/>
  <c r="I106" i="1"/>
  <c r="I162" i="1"/>
  <c r="I182" i="1"/>
  <c r="I158" i="1"/>
  <c r="I105" i="1"/>
  <c r="I87" i="1"/>
  <c r="K197" i="1"/>
  <c r="K195" i="1"/>
  <c r="K194" i="1"/>
  <c r="N194" i="1" s="1"/>
  <c r="K193" i="1"/>
  <c r="N193" i="1" s="1"/>
  <c r="K190" i="1"/>
  <c r="K189" i="1"/>
  <c r="O189" i="1" s="1"/>
  <c r="K187" i="1"/>
  <c r="O187" i="1" s="1"/>
  <c r="K186" i="1"/>
  <c r="P186" i="1" s="1"/>
  <c r="K185" i="1"/>
  <c r="O185" i="1" s="1"/>
  <c r="K184" i="1"/>
  <c r="O184" i="1" s="1"/>
  <c r="K182" i="1"/>
  <c r="K181" i="1"/>
  <c r="K180" i="1"/>
  <c r="K179" i="1"/>
  <c r="O179" i="1" s="1"/>
  <c r="K177" i="1"/>
  <c r="O177" i="1" s="1"/>
  <c r="K176" i="1"/>
  <c r="K173" i="1"/>
  <c r="O173" i="1" s="1"/>
  <c r="K172" i="1"/>
  <c r="K171" i="1"/>
  <c r="K170" i="1"/>
  <c r="K169" i="1"/>
  <c r="K167" i="1"/>
  <c r="K166" i="1"/>
  <c r="O166" i="1" s="1"/>
  <c r="K165" i="1"/>
  <c r="K164" i="1"/>
  <c r="O164" i="1" s="1"/>
  <c r="K163" i="1"/>
  <c r="K162" i="1"/>
  <c r="O162" i="1" s="1"/>
  <c r="K161" i="1"/>
  <c r="K158" i="1"/>
  <c r="K157" i="1"/>
  <c r="O157" i="1" s="1"/>
  <c r="K155" i="1"/>
  <c r="O155" i="1" s="1"/>
  <c r="K154" i="1"/>
  <c r="K152" i="1"/>
  <c r="K150" i="1"/>
  <c r="K148" i="1"/>
  <c r="K145" i="1"/>
  <c r="K143" i="1"/>
  <c r="O143" i="1" s="1"/>
  <c r="K142" i="1"/>
  <c r="O142" i="1" s="1"/>
  <c r="K140" i="1"/>
  <c r="K139" i="1"/>
  <c r="O139" i="1" s="1"/>
  <c r="K138" i="1"/>
  <c r="K135" i="1"/>
  <c r="K133" i="1"/>
  <c r="K132" i="1"/>
  <c r="K131" i="1"/>
  <c r="K128" i="1"/>
  <c r="O128" i="1" s="1"/>
  <c r="K125" i="1"/>
  <c r="K123" i="1"/>
  <c r="K122" i="1"/>
  <c r="K121" i="1"/>
  <c r="K119" i="1"/>
  <c r="K118" i="1"/>
  <c r="K117" i="1"/>
  <c r="K116" i="1"/>
  <c r="P116" i="1" s="1"/>
  <c r="K115" i="1"/>
  <c r="K114" i="1"/>
  <c r="O114" i="1" s="1"/>
  <c r="K112" i="1"/>
  <c r="K111" i="1"/>
  <c r="K110" i="1"/>
  <c r="K109" i="1"/>
  <c r="K108" i="1"/>
  <c r="K107" i="1"/>
  <c r="P107" i="1" s="1"/>
  <c r="K106" i="1"/>
  <c r="K105" i="1"/>
  <c r="O105" i="1" s="1"/>
  <c r="K104" i="1"/>
  <c r="O104" i="1" s="1"/>
  <c r="K103" i="1"/>
  <c r="K102" i="1"/>
  <c r="K101" i="1"/>
  <c r="K100" i="1"/>
  <c r="O100" i="1" s="1"/>
  <c r="K99" i="1"/>
  <c r="O99" i="1" s="1"/>
  <c r="K98" i="1"/>
  <c r="K97" i="1"/>
  <c r="O97" i="1" s="1"/>
  <c r="K96" i="1"/>
  <c r="K95" i="1"/>
  <c r="O95" i="1" s="1"/>
  <c r="K94" i="1"/>
  <c r="O94" i="1" s="1"/>
  <c r="K93" i="1"/>
  <c r="K92" i="1"/>
  <c r="K91" i="1"/>
  <c r="O91" i="1" s="1"/>
  <c r="K90" i="1"/>
  <c r="K89" i="1"/>
  <c r="K88" i="1"/>
  <c r="K87" i="1"/>
  <c r="K86" i="1"/>
  <c r="O86" i="1" s="1"/>
  <c r="K85" i="1"/>
  <c r="K84" i="1"/>
  <c r="K83" i="1"/>
  <c r="O83" i="1" s="1"/>
  <c r="K82" i="1"/>
  <c r="K81" i="1"/>
  <c r="O81" i="1" s="1"/>
  <c r="K80" i="1"/>
  <c r="K79" i="1"/>
  <c r="K78" i="1"/>
  <c r="K77" i="1"/>
  <c r="O77" i="1" s="1"/>
  <c r="K76" i="1"/>
  <c r="K75" i="1"/>
  <c r="K74" i="1"/>
  <c r="K73" i="1"/>
  <c r="K71" i="1"/>
  <c r="K70" i="1"/>
  <c r="O70" i="1" s="1"/>
  <c r="K69" i="1"/>
  <c r="K68" i="1"/>
  <c r="K67" i="1"/>
  <c r="K66" i="1"/>
  <c r="O66" i="1" s="1"/>
  <c r="K65" i="1"/>
  <c r="K64" i="1"/>
  <c r="O64" i="1" s="1"/>
  <c r="K60" i="1"/>
  <c r="O60" i="1" s="1"/>
  <c r="K59" i="1"/>
  <c r="K58" i="1"/>
  <c r="U58" i="1" s="1"/>
  <c r="K57" i="1"/>
  <c r="K56" i="1"/>
  <c r="K55" i="1"/>
  <c r="K54" i="1"/>
  <c r="O54" i="1" s="1"/>
  <c r="K52" i="1"/>
  <c r="K48" i="1"/>
  <c r="K47" i="1"/>
  <c r="K45" i="1"/>
  <c r="K44" i="1"/>
  <c r="K43" i="1"/>
  <c r="O43" i="1" s="1"/>
  <c r="K42" i="1"/>
  <c r="K41" i="1"/>
  <c r="K39" i="1"/>
  <c r="K38" i="1"/>
  <c r="O38" i="1" s="1"/>
  <c r="K37" i="1"/>
  <c r="O37" i="1" s="1"/>
  <c r="K36" i="1"/>
  <c r="K35" i="1"/>
  <c r="K33" i="1"/>
  <c r="K31" i="1"/>
  <c r="O31" i="1" s="1"/>
  <c r="K30" i="1"/>
  <c r="K29" i="1"/>
  <c r="O29" i="1" s="1"/>
  <c r="K28" i="1"/>
  <c r="K26" i="1"/>
  <c r="O26" i="1" s="1"/>
  <c r="K25" i="1"/>
  <c r="K22" i="1"/>
  <c r="O22" i="1" s="1"/>
  <c r="K20" i="1"/>
  <c r="O20" i="1" s="1"/>
  <c r="K19" i="1"/>
  <c r="O19" i="1" s="1"/>
  <c r="K18" i="1"/>
  <c r="O18" i="1" s="1"/>
  <c r="K17" i="1"/>
  <c r="O17" i="1" s="1"/>
  <c r="L15" i="1"/>
  <c r="Q15" i="1" s="1"/>
  <c r="Y15" i="1" l="1"/>
  <c r="O154" i="1"/>
  <c r="O153" i="1" s="1"/>
  <c r="Y155" i="1"/>
  <c r="Y77" i="1"/>
  <c r="M195" i="1"/>
  <c r="N195" i="1"/>
  <c r="N192" i="1" s="1"/>
  <c r="R15" i="1"/>
  <c r="P14" i="1"/>
  <c r="S15" i="1"/>
  <c r="O127" i="1"/>
  <c r="O21" i="1"/>
  <c r="O14" i="1"/>
  <c r="P64" i="1"/>
  <c r="P164" i="1"/>
  <c r="P105" i="1"/>
  <c r="P148" i="1"/>
  <c r="P197" i="1"/>
  <c r="O16" i="1"/>
  <c r="N35" i="1"/>
  <c r="M35" i="1"/>
  <c r="M76" i="1"/>
  <c r="N76" i="1"/>
  <c r="M108" i="1"/>
  <c r="N108" i="1"/>
  <c r="L169" i="1"/>
  <c r="N169" i="1"/>
  <c r="M169" i="1"/>
  <c r="N25" i="1"/>
  <c r="L36" i="1"/>
  <c r="M36" i="1"/>
  <c r="N36" i="1"/>
  <c r="M45" i="1"/>
  <c r="N45" i="1"/>
  <c r="M57" i="1"/>
  <c r="N57" i="1"/>
  <c r="M68" i="1"/>
  <c r="N68" i="1"/>
  <c r="L77" i="1"/>
  <c r="R77" i="1" s="1"/>
  <c r="M77" i="1"/>
  <c r="N77" i="1"/>
  <c r="Q77" i="1" s="1"/>
  <c r="L85" i="1"/>
  <c r="M85" i="1"/>
  <c r="N85" i="1"/>
  <c r="L93" i="1"/>
  <c r="M93" i="1"/>
  <c r="N93" i="1"/>
  <c r="L101" i="1"/>
  <c r="M101" i="1"/>
  <c r="N101" i="1"/>
  <c r="L109" i="1"/>
  <c r="M109" i="1"/>
  <c r="N109" i="1"/>
  <c r="L118" i="1"/>
  <c r="N118" i="1"/>
  <c r="M118" i="1"/>
  <c r="L132" i="1"/>
  <c r="M132" i="1"/>
  <c r="N132" i="1"/>
  <c r="O132" i="1"/>
  <c r="L145" i="1"/>
  <c r="L144" i="1" s="1"/>
  <c r="M145" i="1"/>
  <c r="M144" i="1" s="1"/>
  <c r="O145" i="1"/>
  <c r="N145" i="1"/>
  <c r="L161" i="1"/>
  <c r="M161" i="1"/>
  <c r="O161" i="1"/>
  <c r="N161" i="1"/>
  <c r="L170" i="1"/>
  <c r="N170" i="1"/>
  <c r="M170" i="1"/>
  <c r="O170" i="1"/>
  <c r="L181" i="1"/>
  <c r="M181" i="1"/>
  <c r="N181" i="1"/>
  <c r="L193" i="1"/>
  <c r="M193" i="1"/>
  <c r="O193" i="1" s="1"/>
  <c r="Y193" i="1" s="1"/>
  <c r="O181" i="1"/>
  <c r="O107" i="1"/>
  <c r="M58" i="1"/>
  <c r="N58" i="1"/>
  <c r="O58" i="1"/>
  <c r="L94" i="1"/>
  <c r="R94" i="1" s="1"/>
  <c r="M94" i="1"/>
  <c r="N94" i="1"/>
  <c r="M110" i="1"/>
  <c r="N110" i="1"/>
  <c r="O110" i="1"/>
  <c r="L133" i="1"/>
  <c r="M133" i="1"/>
  <c r="N133" i="1"/>
  <c r="L162" i="1"/>
  <c r="R162" i="1" s="1"/>
  <c r="M162" i="1"/>
  <c r="N162" i="1"/>
  <c r="L171" i="1"/>
  <c r="M171" i="1"/>
  <c r="N171" i="1"/>
  <c r="Q171" i="1" s="1"/>
  <c r="L194" i="1"/>
  <c r="M194" i="1"/>
  <c r="O194" i="1" s="1"/>
  <c r="P43" i="1"/>
  <c r="O85" i="1"/>
  <c r="Y85" i="1" s="1"/>
  <c r="O101" i="1"/>
  <c r="Y101" i="1" s="1"/>
  <c r="O109" i="1"/>
  <c r="L44" i="1"/>
  <c r="M44" i="1"/>
  <c r="N44" i="1"/>
  <c r="Q44" i="1" s="1"/>
  <c r="L92" i="1"/>
  <c r="M92" i="1"/>
  <c r="O92" i="1"/>
  <c r="Y92" i="1" s="1"/>
  <c r="N92" i="1"/>
  <c r="M117" i="1"/>
  <c r="N117" i="1"/>
  <c r="L158" i="1"/>
  <c r="M158" i="1"/>
  <c r="N158" i="1"/>
  <c r="L190" i="1"/>
  <c r="M190" i="1"/>
  <c r="N190" i="1"/>
  <c r="O190" i="1"/>
  <c r="L26" i="1"/>
  <c r="R26" i="1" s="1"/>
  <c r="N26" i="1"/>
  <c r="Q26" i="1" s="1"/>
  <c r="M26" i="1"/>
  <c r="L47" i="1"/>
  <c r="M47" i="1"/>
  <c r="O47" i="1"/>
  <c r="Y47" i="1" s="1"/>
  <c r="N47" i="1"/>
  <c r="M78" i="1"/>
  <c r="N78" i="1"/>
  <c r="O78" i="1"/>
  <c r="L102" i="1"/>
  <c r="M102" i="1"/>
  <c r="N102" i="1"/>
  <c r="O102" i="1"/>
  <c r="Y102" i="1" s="1"/>
  <c r="N119" i="1"/>
  <c r="M119" i="1"/>
  <c r="L148" i="1"/>
  <c r="L147" i="1" s="1"/>
  <c r="O148" i="1"/>
  <c r="M148" i="1"/>
  <c r="M147" i="1" s="1"/>
  <c r="N148" i="1"/>
  <c r="L182" i="1"/>
  <c r="M182" i="1"/>
  <c r="N182" i="1"/>
  <c r="M28" i="1"/>
  <c r="N28" i="1"/>
  <c r="L38" i="1"/>
  <c r="R38" i="1" s="1"/>
  <c r="N38" i="1"/>
  <c r="M38" i="1"/>
  <c r="L48" i="1"/>
  <c r="M48" i="1"/>
  <c r="N48" i="1"/>
  <c r="O48" i="1"/>
  <c r="L59" i="1"/>
  <c r="N59" i="1"/>
  <c r="M59" i="1"/>
  <c r="L70" i="1"/>
  <c r="R70" i="1" s="1"/>
  <c r="N70" i="1"/>
  <c r="M70" i="1"/>
  <c r="L79" i="1"/>
  <c r="M79" i="1"/>
  <c r="L87" i="1"/>
  <c r="N87" i="1"/>
  <c r="M87" i="1"/>
  <c r="L95" i="1"/>
  <c r="R95" i="1" s="1"/>
  <c r="M95" i="1"/>
  <c r="N95" i="1"/>
  <c r="L103" i="1"/>
  <c r="O103" i="1"/>
  <c r="N103" i="1"/>
  <c r="M103" i="1"/>
  <c r="L111" i="1"/>
  <c r="N111" i="1"/>
  <c r="M111" i="1"/>
  <c r="O111" i="1"/>
  <c r="L121" i="1"/>
  <c r="N121" i="1"/>
  <c r="M121" i="1"/>
  <c r="L135" i="1"/>
  <c r="L134" i="1" s="1"/>
  <c r="N135" i="1"/>
  <c r="M135" i="1"/>
  <c r="M134" i="1" s="1"/>
  <c r="L150" i="1"/>
  <c r="L149" i="1" s="1"/>
  <c r="N150" i="1"/>
  <c r="M150" i="1"/>
  <c r="M149" i="1" s="1"/>
  <c r="L163" i="1"/>
  <c r="N163" i="1"/>
  <c r="M163" i="1"/>
  <c r="L172" i="1"/>
  <c r="M172" i="1"/>
  <c r="N172" i="1"/>
  <c r="O172" i="1"/>
  <c r="L184" i="1"/>
  <c r="R184" i="1" s="1"/>
  <c r="N184" i="1"/>
  <c r="M184" i="1"/>
  <c r="O35" i="1"/>
  <c r="O150" i="1"/>
  <c r="O36" i="1"/>
  <c r="O28" i="1"/>
  <c r="O182" i="1"/>
  <c r="O133" i="1"/>
  <c r="L84" i="1"/>
  <c r="M84" i="1"/>
  <c r="N84" i="1"/>
  <c r="O84" i="1"/>
  <c r="Y84" i="1" s="1"/>
  <c r="L180" i="1"/>
  <c r="M180" i="1"/>
  <c r="N180" i="1"/>
  <c r="O180" i="1"/>
  <c r="M69" i="1"/>
  <c r="N69" i="1"/>
  <c r="L17" i="1"/>
  <c r="R17" i="1" s="1"/>
  <c r="M17" i="1"/>
  <c r="N17" i="1"/>
  <c r="L39" i="1"/>
  <c r="M39" i="1"/>
  <c r="N39" i="1"/>
  <c r="L52" i="1"/>
  <c r="O52" i="1"/>
  <c r="Y52" i="1" s="1"/>
  <c r="N52" i="1"/>
  <c r="M52" i="1"/>
  <c r="L60" i="1"/>
  <c r="R60" i="1" s="1"/>
  <c r="M60" i="1"/>
  <c r="N60" i="1"/>
  <c r="L71" i="1"/>
  <c r="N71" i="1"/>
  <c r="M71" i="1"/>
  <c r="L80" i="1"/>
  <c r="M80" i="1"/>
  <c r="L88" i="1"/>
  <c r="N88" i="1"/>
  <c r="M88" i="1"/>
  <c r="L96" i="1"/>
  <c r="N96" i="1"/>
  <c r="M96" i="1"/>
  <c r="L104" i="1"/>
  <c r="R104" i="1" s="1"/>
  <c r="N104" i="1"/>
  <c r="M104" i="1"/>
  <c r="L112" i="1"/>
  <c r="N112" i="1"/>
  <c r="M112" i="1"/>
  <c r="O122" i="1"/>
  <c r="N122" i="1"/>
  <c r="M122" i="1"/>
  <c r="L138" i="1"/>
  <c r="O138" i="1"/>
  <c r="N138" i="1"/>
  <c r="M138" i="1"/>
  <c r="L152" i="1"/>
  <c r="L151" i="1" s="1"/>
  <c r="O152" i="1"/>
  <c r="N152" i="1"/>
  <c r="M152" i="1"/>
  <c r="M151" i="1" s="1"/>
  <c r="L164" i="1"/>
  <c r="R164" i="1" s="1"/>
  <c r="M164" i="1"/>
  <c r="N164" i="1"/>
  <c r="L173" i="1"/>
  <c r="R173" i="1" s="1"/>
  <c r="M173" i="1"/>
  <c r="N173" i="1"/>
  <c r="L185" i="1"/>
  <c r="R185" i="1" s="1"/>
  <c r="N185" i="1"/>
  <c r="M185" i="1"/>
  <c r="L197" i="1"/>
  <c r="L196" i="1" s="1"/>
  <c r="N197" i="1"/>
  <c r="M197" i="1"/>
  <c r="M196" i="1" s="1"/>
  <c r="P66" i="1"/>
  <c r="O39" i="1"/>
  <c r="O135" i="1"/>
  <c r="O119" i="1"/>
  <c r="O197" i="1"/>
  <c r="O169" i="1"/>
  <c r="O108" i="1"/>
  <c r="O88" i="1"/>
  <c r="M56" i="1"/>
  <c r="N56" i="1"/>
  <c r="L143" i="1"/>
  <c r="P143" i="1" s="1"/>
  <c r="S143" i="1" s="1"/>
  <c r="M143" i="1"/>
  <c r="N143" i="1"/>
  <c r="L29" i="1"/>
  <c r="R29" i="1" s="1"/>
  <c r="M29" i="1"/>
  <c r="N29" i="1"/>
  <c r="N41" i="1"/>
  <c r="M41" i="1"/>
  <c r="O41" i="1"/>
  <c r="L64" i="1"/>
  <c r="R64" i="1" s="1"/>
  <c r="N64" i="1"/>
  <c r="M64" i="1"/>
  <c r="L73" i="1"/>
  <c r="M73" i="1"/>
  <c r="L89" i="1"/>
  <c r="M89" i="1"/>
  <c r="N89" i="1"/>
  <c r="L105" i="1"/>
  <c r="R105" i="1" s="1"/>
  <c r="M105" i="1"/>
  <c r="N105" i="1"/>
  <c r="N114" i="1"/>
  <c r="M114" i="1"/>
  <c r="M123" i="1"/>
  <c r="N123" i="1"/>
  <c r="L139" i="1"/>
  <c r="R139" i="1" s="1"/>
  <c r="N139" i="1"/>
  <c r="M139" i="1"/>
  <c r="L154" i="1"/>
  <c r="P154" i="1" s="1"/>
  <c r="N154" i="1"/>
  <c r="M154" i="1"/>
  <c r="L165" i="1"/>
  <c r="N165" i="1"/>
  <c r="M165" i="1"/>
  <c r="O165" i="1"/>
  <c r="Y165" i="1" s="1"/>
  <c r="L176" i="1"/>
  <c r="N176" i="1"/>
  <c r="M176" i="1"/>
  <c r="L186" i="1"/>
  <c r="T186" i="1" s="1"/>
  <c r="M186" i="1"/>
  <c r="N186" i="1"/>
  <c r="P189" i="1"/>
  <c r="P96" i="1"/>
  <c r="P177" i="1"/>
  <c r="O116" i="1"/>
  <c r="O96" i="1"/>
  <c r="O176" i="1"/>
  <c r="O76" i="1"/>
  <c r="O69" i="1"/>
  <c r="O121" i="1"/>
  <c r="L22" i="1"/>
  <c r="L21" i="1" s="1"/>
  <c r="N22" i="1"/>
  <c r="M22" i="1"/>
  <c r="M21" i="1" s="1"/>
  <c r="L67" i="1"/>
  <c r="M67" i="1"/>
  <c r="N67" i="1"/>
  <c r="O67" i="1"/>
  <c r="M100" i="1"/>
  <c r="N100" i="1"/>
  <c r="L131" i="1"/>
  <c r="N131" i="1"/>
  <c r="M131" i="1"/>
  <c r="M37" i="1"/>
  <c r="N37" i="1"/>
  <c r="M86" i="1"/>
  <c r="N86" i="1"/>
  <c r="L18" i="1"/>
  <c r="R18" i="1" s="1"/>
  <c r="M18" i="1"/>
  <c r="N18" i="1"/>
  <c r="O30" i="1"/>
  <c r="M30" i="1"/>
  <c r="N30" i="1"/>
  <c r="L53" i="1"/>
  <c r="M53" i="1"/>
  <c r="N53" i="1"/>
  <c r="O53" i="1"/>
  <c r="L81" i="1"/>
  <c r="R81" i="1" s="1"/>
  <c r="M81" i="1"/>
  <c r="N81" i="1"/>
  <c r="L97" i="1"/>
  <c r="R97" i="1" s="1"/>
  <c r="M97" i="1"/>
  <c r="N97" i="1"/>
  <c r="L19" i="1"/>
  <c r="R19" i="1" s="1"/>
  <c r="N19" i="1"/>
  <c r="M19" i="1"/>
  <c r="M31" i="1"/>
  <c r="N31" i="1"/>
  <c r="L42" i="1"/>
  <c r="M42" i="1"/>
  <c r="N42" i="1"/>
  <c r="L54" i="1"/>
  <c r="R54" i="1" s="1"/>
  <c r="M54" i="1"/>
  <c r="N54" i="1"/>
  <c r="L65" i="1"/>
  <c r="M65" i="1"/>
  <c r="N65" i="1"/>
  <c r="O65" i="1"/>
  <c r="L74" i="1"/>
  <c r="M74" i="1"/>
  <c r="M82" i="1"/>
  <c r="N82" i="1"/>
  <c r="O82" i="1"/>
  <c r="L90" i="1"/>
  <c r="M90" i="1"/>
  <c r="N90" i="1"/>
  <c r="O90" i="1"/>
  <c r="M98" i="1"/>
  <c r="N98" i="1"/>
  <c r="O98" i="1"/>
  <c r="L106" i="1"/>
  <c r="N106" i="1"/>
  <c r="M106" i="1"/>
  <c r="O106" i="1"/>
  <c r="M115" i="1"/>
  <c r="N115" i="1"/>
  <c r="O115" i="1"/>
  <c r="L125" i="1"/>
  <c r="L124" i="1" s="1"/>
  <c r="N125" i="1"/>
  <c r="M125" i="1"/>
  <c r="M124" i="1" s="1"/>
  <c r="O125" i="1"/>
  <c r="Y125" i="1" s="1"/>
  <c r="L140" i="1"/>
  <c r="M140" i="1"/>
  <c r="N140" i="1"/>
  <c r="L155" i="1"/>
  <c r="R155" i="1" s="1"/>
  <c r="N155" i="1"/>
  <c r="M155" i="1"/>
  <c r="L166" i="1"/>
  <c r="R166" i="1" s="1"/>
  <c r="M166" i="1"/>
  <c r="N166" i="1"/>
  <c r="L177" i="1"/>
  <c r="R177" i="1" s="1"/>
  <c r="N177" i="1"/>
  <c r="M177" i="1"/>
  <c r="L187" i="1"/>
  <c r="R187" i="1" s="1"/>
  <c r="M187" i="1"/>
  <c r="N187" i="1"/>
  <c r="O42" i="1"/>
  <c r="Y42" i="1" s="1"/>
  <c r="O93" i="1"/>
  <c r="O71" i="1"/>
  <c r="O118" i="1"/>
  <c r="O112" i="1"/>
  <c r="O131" i="1"/>
  <c r="O57" i="1"/>
  <c r="O171" i="1"/>
  <c r="O158" i="1"/>
  <c r="O59" i="1"/>
  <c r="Y59" i="1" s="1"/>
  <c r="O117" i="1"/>
  <c r="L20" i="1"/>
  <c r="R20" i="1" s="1"/>
  <c r="M20" i="1"/>
  <c r="N20" i="1"/>
  <c r="O33" i="1"/>
  <c r="N33" i="1"/>
  <c r="M33" i="1"/>
  <c r="M32" i="1" s="1"/>
  <c r="L43" i="1"/>
  <c r="R43" i="1" s="1"/>
  <c r="M43" i="1"/>
  <c r="N43" i="1"/>
  <c r="L55" i="1"/>
  <c r="M55" i="1"/>
  <c r="O55" i="1"/>
  <c r="N55" i="1"/>
  <c r="L66" i="1"/>
  <c r="R66" i="1" s="1"/>
  <c r="M66" i="1"/>
  <c r="N66" i="1"/>
  <c r="L75" i="1"/>
  <c r="M75" i="1"/>
  <c r="L83" i="1"/>
  <c r="R83" i="1" s="1"/>
  <c r="M83" i="1"/>
  <c r="N83" i="1"/>
  <c r="L91" i="1"/>
  <c r="R91" i="1" s="1"/>
  <c r="M91" i="1"/>
  <c r="N91" i="1"/>
  <c r="L99" i="1"/>
  <c r="R99" i="1" s="1"/>
  <c r="M99" i="1"/>
  <c r="N99" i="1"/>
  <c r="L107" i="1"/>
  <c r="T107" i="1" s="1"/>
  <c r="M107" i="1"/>
  <c r="N107" i="1"/>
  <c r="L116" i="1"/>
  <c r="T116" i="1" s="1"/>
  <c r="M116" i="1"/>
  <c r="N116" i="1"/>
  <c r="M128" i="1"/>
  <c r="M127" i="1" s="1"/>
  <c r="N128" i="1"/>
  <c r="M142" i="1"/>
  <c r="N142" i="1"/>
  <c r="L157" i="1"/>
  <c r="R157" i="1" s="1"/>
  <c r="M157" i="1"/>
  <c r="N157" i="1"/>
  <c r="L167" i="1"/>
  <c r="O167" i="1"/>
  <c r="M167" i="1"/>
  <c r="N167" i="1"/>
  <c r="L179" i="1"/>
  <c r="R179" i="1" s="1"/>
  <c r="M179" i="1"/>
  <c r="N179" i="1"/>
  <c r="L189" i="1"/>
  <c r="L188" i="1" s="1"/>
  <c r="M189" i="1"/>
  <c r="N189" i="1"/>
  <c r="P81" i="1"/>
  <c r="P20" i="1"/>
  <c r="P167" i="1"/>
  <c r="P18" i="1"/>
  <c r="O45" i="1"/>
  <c r="O68" i="1"/>
  <c r="O44" i="1"/>
  <c r="O123" i="1"/>
  <c r="O163" i="1"/>
  <c r="Y163" i="1" s="1"/>
  <c r="O56" i="1"/>
  <c r="O140" i="1"/>
  <c r="O89" i="1"/>
  <c r="Y89" i="1" s="1"/>
  <c r="O186" i="1"/>
  <c r="O87" i="1"/>
  <c r="Y87" i="1" s="1"/>
  <c r="T15" i="1"/>
  <c r="P29" i="1"/>
  <c r="P90" i="1"/>
  <c r="P157" i="1"/>
  <c r="P106" i="1"/>
  <c r="P139" i="1"/>
  <c r="P70" i="1"/>
  <c r="S70" i="1" s="1"/>
  <c r="P172" i="1"/>
  <c r="P54" i="1"/>
  <c r="P103" i="1"/>
  <c r="S103" i="1" s="1"/>
  <c r="P95" i="1"/>
  <c r="P173" i="1"/>
  <c r="P17" i="1"/>
  <c r="S17" i="1" s="1"/>
  <c r="P42" i="1"/>
  <c r="P38" i="1"/>
  <c r="P165" i="1"/>
  <c r="P176" i="1"/>
  <c r="L35" i="1"/>
  <c r="P35" i="1"/>
  <c r="L56" i="1"/>
  <c r="P56" i="1"/>
  <c r="L108" i="1"/>
  <c r="P108" i="1"/>
  <c r="L57" i="1"/>
  <c r="P57" i="1"/>
  <c r="L37" i="1"/>
  <c r="R37" i="1" s="1"/>
  <c r="P37" i="1"/>
  <c r="L69" i="1"/>
  <c r="P69" i="1"/>
  <c r="L78" i="1"/>
  <c r="P78" i="1"/>
  <c r="L110" i="1"/>
  <c r="P110" i="1"/>
  <c r="P161" i="1"/>
  <c r="P190" i="1"/>
  <c r="P109" i="1"/>
  <c r="P26" i="1"/>
  <c r="S26" i="1" s="1"/>
  <c r="L28" i="1"/>
  <c r="P28" i="1"/>
  <c r="L195" i="1"/>
  <c r="P162" i="1"/>
  <c r="S162" i="1" s="1"/>
  <c r="P48" i="1"/>
  <c r="P133" i="1"/>
  <c r="P101" i="1"/>
  <c r="S101" i="1" s="1"/>
  <c r="P118" i="1"/>
  <c r="P121" i="1"/>
  <c r="S121" i="1" s="1"/>
  <c r="P102" i="1"/>
  <c r="S102" i="1" s="1"/>
  <c r="L30" i="1"/>
  <c r="P30" i="1"/>
  <c r="L41" i="1"/>
  <c r="P41" i="1"/>
  <c r="L114" i="1"/>
  <c r="R114" i="1" s="1"/>
  <c r="P114" i="1"/>
  <c r="L123" i="1"/>
  <c r="P150" i="1"/>
  <c r="P185" i="1"/>
  <c r="S185" i="1" s="1"/>
  <c r="P163" i="1"/>
  <c r="P36" i="1"/>
  <c r="P145" i="1"/>
  <c r="P47" i="1"/>
  <c r="S47" i="1" s="1"/>
  <c r="P77" i="1"/>
  <c r="S77" i="1" s="1"/>
  <c r="P60" i="1"/>
  <c r="P88" i="1"/>
  <c r="P83" i="1"/>
  <c r="S83" i="1" s="1"/>
  <c r="P93" i="1"/>
  <c r="P65" i="1"/>
  <c r="P181" i="1"/>
  <c r="L76" i="1"/>
  <c r="P76" i="1"/>
  <c r="L100" i="1"/>
  <c r="R100" i="1" s="1"/>
  <c r="P100" i="1"/>
  <c r="L117" i="1"/>
  <c r="P117" i="1"/>
  <c r="P158" i="1"/>
  <c r="P180" i="1"/>
  <c r="L45" i="1"/>
  <c r="P45" i="1"/>
  <c r="L68" i="1"/>
  <c r="P68" i="1"/>
  <c r="O141" i="1"/>
  <c r="L31" i="1"/>
  <c r="R31" i="1" s="1"/>
  <c r="P31" i="1"/>
  <c r="L82" i="1"/>
  <c r="P82" i="1"/>
  <c r="L98" i="1"/>
  <c r="P98" i="1"/>
  <c r="L115" i="1"/>
  <c r="P115" i="1"/>
  <c r="P179" i="1"/>
  <c r="P170" i="1"/>
  <c r="P182" i="1"/>
  <c r="P91" i="1"/>
  <c r="P19" i="1"/>
  <c r="P99" i="1"/>
  <c r="P89" i="1"/>
  <c r="P84" i="1"/>
  <c r="P169" i="1"/>
  <c r="S169" i="1" s="1"/>
  <c r="P104" i="1"/>
  <c r="P39" i="1"/>
  <c r="P94" i="1"/>
  <c r="L25" i="1"/>
  <c r="P22" i="1"/>
  <c r="P92" i="1"/>
  <c r="S92" i="1" s="1"/>
  <c r="L58" i="1"/>
  <c r="P58" i="1"/>
  <c r="L86" i="1"/>
  <c r="R86" i="1" s="1"/>
  <c r="P86" i="1"/>
  <c r="L119" i="1"/>
  <c r="P119" i="1"/>
  <c r="P67" i="1"/>
  <c r="S67" i="1" s="1"/>
  <c r="P44" i="1"/>
  <c r="S44" i="1" s="1"/>
  <c r="P87" i="1"/>
  <c r="P85" i="1"/>
  <c r="S85" i="1" s="1"/>
  <c r="P135" i="1"/>
  <c r="L122" i="1"/>
  <c r="P122" i="1"/>
  <c r="S122" i="1" s="1"/>
  <c r="P184" i="1"/>
  <c r="S184" i="1" s="1"/>
  <c r="P71" i="1"/>
  <c r="S71" i="1" s="1"/>
  <c r="L33" i="1"/>
  <c r="P33" i="1"/>
  <c r="L128" i="1"/>
  <c r="R128" i="1" s="1"/>
  <c r="P128" i="1"/>
  <c r="L142" i="1"/>
  <c r="P142" i="1" s="1"/>
  <c r="S142" i="1" s="1"/>
  <c r="P97" i="1"/>
  <c r="S97" i="1" s="1"/>
  <c r="P187" i="1"/>
  <c r="P111" i="1"/>
  <c r="P53" i="1"/>
  <c r="P59" i="1"/>
  <c r="S59" i="1" s="1"/>
  <c r="L14" i="1"/>
  <c r="S20" i="1" l="1"/>
  <c r="M141" i="1"/>
  <c r="Y55" i="1"/>
  <c r="Y71" i="1"/>
  <c r="Y121" i="1"/>
  <c r="Y96" i="1"/>
  <c r="Y28" i="1"/>
  <c r="Y132" i="1"/>
  <c r="Y184" i="1"/>
  <c r="Y64" i="1"/>
  <c r="S133" i="1"/>
  <c r="S38" i="1"/>
  <c r="S90" i="1"/>
  <c r="Y186" i="1"/>
  <c r="Y93" i="1"/>
  <c r="Y106" i="1"/>
  <c r="Y65" i="1"/>
  <c r="Y67" i="1"/>
  <c r="Y169" i="1"/>
  <c r="Y152" i="1"/>
  <c r="Y138" i="1"/>
  <c r="Y103" i="1"/>
  <c r="Y194" i="1"/>
  <c r="Y161" i="1"/>
  <c r="Y26" i="1"/>
  <c r="S18" i="1"/>
  <c r="Y167" i="1"/>
  <c r="Y158" i="1"/>
  <c r="Y133" i="1"/>
  <c r="Y181" i="1"/>
  <c r="Y189" i="1"/>
  <c r="Y140" i="1"/>
  <c r="Y197" i="1"/>
  <c r="Y36" i="1"/>
  <c r="Y14" i="1"/>
  <c r="Y179" i="1"/>
  <c r="Y17" i="1"/>
  <c r="Y18" i="1"/>
  <c r="Y94" i="1"/>
  <c r="Y56" i="1"/>
  <c r="R171" i="1"/>
  <c r="Y171" i="1"/>
  <c r="Y119" i="1"/>
  <c r="Y150" i="1"/>
  <c r="Y21" i="1"/>
  <c r="Y22" i="1"/>
  <c r="Y143" i="1"/>
  <c r="Y157" i="1"/>
  <c r="Y38" i="1"/>
  <c r="Y81" i="1"/>
  <c r="Y185" i="1"/>
  <c r="Y19" i="1"/>
  <c r="Y33" i="1"/>
  <c r="Y57" i="1"/>
  <c r="Y82" i="1"/>
  <c r="Y69" i="1"/>
  <c r="Y41" i="1"/>
  <c r="R135" i="1"/>
  <c r="Y135" i="1"/>
  <c r="Y35" i="1"/>
  <c r="Y99" i="1"/>
  <c r="Y100" i="1"/>
  <c r="Y142" i="1"/>
  <c r="Y37" i="1"/>
  <c r="Y95" i="1"/>
  <c r="Y173" i="1"/>
  <c r="Y123" i="1"/>
  <c r="R131" i="1"/>
  <c r="Y131" i="1"/>
  <c r="Y98" i="1"/>
  <c r="Y76" i="1"/>
  <c r="Y39" i="1"/>
  <c r="Y122" i="1"/>
  <c r="Y58" i="1"/>
  <c r="Y43" i="1"/>
  <c r="Y128" i="1"/>
  <c r="Y86" i="1"/>
  <c r="Y162" i="1"/>
  <c r="Y164" i="1"/>
  <c r="R44" i="1"/>
  <c r="Y44" i="1"/>
  <c r="R112" i="1"/>
  <c r="Y112" i="1"/>
  <c r="Y115" i="1"/>
  <c r="Y30" i="1"/>
  <c r="Y176" i="1"/>
  <c r="R148" i="1"/>
  <c r="Y148" i="1"/>
  <c r="Y78" i="1"/>
  <c r="Y31" i="1"/>
  <c r="Y20" i="1"/>
  <c r="Y91" i="1"/>
  <c r="Y187" i="1"/>
  <c r="Y154" i="1"/>
  <c r="Y104" i="1"/>
  <c r="Y68" i="1"/>
  <c r="Y118" i="1"/>
  <c r="Y88" i="1"/>
  <c r="Y180" i="1"/>
  <c r="Y110" i="1"/>
  <c r="Y170" i="1"/>
  <c r="Y97" i="1"/>
  <c r="Y54" i="1"/>
  <c r="Y83" i="1"/>
  <c r="Y177" i="1"/>
  <c r="Y139" i="1"/>
  <c r="Y60" i="1"/>
  <c r="Y45" i="1"/>
  <c r="Y117" i="1"/>
  <c r="Y90" i="1"/>
  <c r="Y53" i="1"/>
  <c r="Y116" i="1"/>
  <c r="Y108" i="1"/>
  <c r="Y182" i="1"/>
  <c r="Y172" i="1"/>
  <c r="Y111" i="1"/>
  <c r="Y48" i="1"/>
  <c r="Y190" i="1"/>
  <c r="Y109" i="1"/>
  <c r="Y107" i="1"/>
  <c r="Y145" i="1"/>
  <c r="Y29" i="1"/>
  <c r="Y105" i="1"/>
  <c r="Y66" i="1"/>
  <c r="Y166" i="1"/>
  <c r="Y114" i="1"/>
  <c r="Y70" i="1"/>
  <c r="M130" i="1"/>
  <c r="Q169" i="1"/>
  <c r="Q59" i="1"/>
  <c r="S139" i="1"/>
  <c r="R71" i="1"/>
  <c r="R169" i="1"/>
  <c r="Q190" i="1"/>
  <c r="R101" i="1"/>
  <c r="Q162" i="1"/>
  <c r="O195" i="1"/>
  <c r="Y195" i="1" s="1"/>
  <c r="S190" i="1"/>
  <c r="S173" i="1"/>
  <c r="S167" i="1"/>
  <c r="Q83" i="1"/>
  <c r="R158" i="1"/>
  <c r="R42" i="1"/>
  <c r="Q42" i="1"/>
  <c r="Q97" i="1"/>
  <c r="R121" i="1"/>
  <c r="S96" i="1"/>
  <c r="Q139" i="1"/>
  <c r="Q64" i="1"/>
  <c r="Q143" i="1"/>
  <c r="Q104" i="1"/>
  <c r="Q17" i="1"/>
  <c r="Q111" i="1"/>
  <c r="R47" i="1"/>
  <c r="R92" i="1"/>
  <c r="R85" i="1"/>
  <c r="R36" i="1"/>
  <c r="R150" i="1"/>
  <c r="S157" i="1"/>
  <c r="S19" i="1"/>
  <c r="S176" i="1"/>
  <c r="S29" i="1"/>
  <c r="R197" i="1"/>
  <c r="S88" i="1"/>
  <c r="S54" i="1"/>
  <c r="R39" i="1"/>
  <c r="R140" i="1"/>
  <c r="S91" i="1"/>
  <c r="S39" i="1"/>
  <c r="S82" i="1"/>
  <c r="S45" i="1"/>
  <c r="S76" i="1"/>
  <c r="S28" i="1"/>
  <c r="S78" i="1"/>
  <c r="S108" i="1"/>
  <c r="R176" i="1"/>
  <c r="Q71" i="1"/>
  <c r="Q184" i="1"/>
  <c r="Q121" i="1"/>
  <c r="R103" i="1"/>
  <c r="Q157" i="1"/>
  <c r="Q91" i="1"/>
  <c r="Q43" i="1"/>
  <c r="R118" i="1"/>
  <c r="Q140" i="1"/>
  <c r="Q54" i="1"/>
  <c r="Q18" i="1"/>
  <c r="Q29" i="1"/>
  <c r="R88" i="1"/>
  <c r="Q39" i="1"/>
  <c r="Q36" i="1"/>
  <c r="S107" i="1"/>
  <c r="S58" i="1"/>
  <c r="Q19" i="1"/>
  <c r="Q176" i="1"/>
  <c r="Q88" i="1"/>
  <c r="R190" i="1"/>
  <c r="S99" i="1"/>
  <c r="S163" i="1"/>
  <c r="S161" i="1"/>
  <c r="S42" i="1"/>
  <c r="S95" i="1"/>
  <c r="R96" i="1"/>
  <c r="R180" i="1"/>
  <c r="R133" i="1"/>
  <c r="R170" i="1"/>
  <c r="Q35" i="1"/>
  <c r="R21" i="1"/>
  <c r="R53" i="1"/>
  <c r="Q105" i="1"/>
  <c r="Q164" i="1"/>
  <c r="Q138" i="1"/>
  <c r="Q60" i="1"/>
  <c r="Q180" i="1"/>
  <c r="R182" i="1"/>
  <c r="R172" i="1"/>
  <c r="R111" i="1"/>
  <c r="Q95" i="1"/>
  <c r="R48" i="1"/>
  <c r="Q133" i="1"/>
  <c r="Q181" i="1"/>
  <c r="R161" i="1"/>
  <c r="Q132" i="1"/>
  <c r="S181" i="1"/>
  <c r="R186" i="1"/>
  <c r="R163" i="1"/>
  <c r="S81" i="1"/>
  <c r="Q179" i="1"/>
  <c r="Q66" i="1"/>
  <c r="R90" i="1"/>
  <c r="S53" i="1"/>
  <c r="S84" i="1"/>
  <c r="S179" i="1"/>
  <c r="S158" i="1"/>
  <c r="S65" i="1"/>
  <c r="S106" i="1"/>
  <c r="R123" i="1"/>
  <c r="R167" i="1"/>
  <c r="Q107" i="1"/>
  <c r="Q20" i="1"/>
  <c r="R59" i="1"/>
  <c r="R93" i="1"/>
  <c r="Q166" i="1"/>
  <c r="Q155" i="1"/>
  <c r="R106" i="1"/>
  <c r="R98" i="1"/>
  <c r="Q90" i="1"/>
  <c r="Q82" i="1"/>
  <c r="Q31" i="1"/>
  <c r="Q81" i="1"/>
  <c r="Q53" i="1"/>
  <c r="R76" i="1"/>
  <c r="Q56" i="1"/>
  <c r="Q173" i="1"/>
  <c r="R152" i="1"/>
  <c r="R122" i="1"/>
  <c r="Q96" i="1"/>
  <c r="R52" i="1"/>
  <c r="Q69" i="1"/>
  <c r="Q172" i="1"/>
  <c r="Q163" i="1"/>
  <c r="Q103" i="1"/>
  <c r="Q48" i="1"/>
  <c r="Q38" i="1"/>
  <c r="Q170" i="1"/>
  <c r="Q101" i="1"/>
  <c r="R142" i="1"/>
  <c r="O188" i="1"/>
  <c r="T14" i="1"/>
  <c r="S87" i="1"/>
  <c r="R87" i="1"/>
  <c r="Q116" i="1"/>
  <c r="R115" i="1"/>
  <c r="Q98" i="1"/>
  <c r="R30" i="1"/>
  <c r="Q41" i="1"/>
  <c r="S66" i="1"/>
  <c r="R78" i="1"/>
  <c r="R58" i="1"/>
  <c r="Q45" i="1"/>
  <c r="R143" i="1"/>
  <c r="S31" i="1"/>
  <c r="S114" i="1"/>
  <c r="S69" i="1"/>
  <c r="S56" i="1"/>
  <c r="R68" i="1"/>
  <c r="Q177" i="1"/>
  <c r="Q115" i="1"/>
  <c r="Q131" i="1"/>
  <c r="Q154" i="1"/>
  <c r="Q114" i="1"/>
  <c r="Q112" i="1"/>
  <c r="Q28" i="1"/>
  <c r="Q78" i="1"/>
  <c r="Q117" i="1"/>
  <c r="Q58" i="1"/>
  <c r="S109" i="1"/>
  <c r="R45" i="1"/>
  <c r="R117" i="1"/>
  <c r="R116" i="1"/>
  <c r="R108" i="1"/>
  <c r="R109" i="1"/>
  <c r="R110" i="1"/>
  <c r="Q108" i="1"/>
  <c r="S14" i="1"/>
  <c r="S119" i="1"/>
  <c r="S89" i="1"/>
  <c r="S115" i="1"/>
  <c r="S117" i="1"/>
  <c r="S41" i="1"/>
  <c r="S37" i="1"/>
  <c r="S35" i="1"/>
  <c r="R89" i="1"/>
  <c r="Q100" i="1"/>
  <c r="S177" i="1"/>
  <c r="R138" i="1"/>
  <c r="R28" i="1"/>
  <c r="Q182" i="1"/>
  <c r="Q119" i="1"/>
  <c r="Q47" i="1"/>
  <c r="Q92" i="1"/>
  <c r="Q110" i="1"/>
  <c r="R107" i="1"/>
  <c r="R145" i="1"/>
  <c r="Q118" i="1"/>
  <c r="Q93" i="1"/>
  <c r="S105" i="1"/>
  <c r="S186" i="1"/>
  <c r="S187" i="1"/>
  <c r="R125" i="1"/>
  <c r="Q86" i="1"/>
  <c r="R165" i="1"/>
  <c r="R102" i="1"/>
  <c r="R181" i="1"/>
  <c r="Q68" i="1"/>
  <c r="Q76" i="1"/>
  <c r="S164" i="1"/>
  <c r="R154" i="1"/>
  <c r="R189" i="1"/>
  <c r="S86" i="1"/>
  <c r="S98" i="1"/>
  <c r="S68" i="1"/>
  <c r="S100" i="1"/>
  <c r="S30" i="1"/>
  <c r="S110" i="1"/>
  <c r="S57" i="1"/>
  <c r="R56" i="1"/>
  <c r="Q167" i="1"/>
  <c r="Q55" i="1"/>
  <c r="Q187" i="1"/>
  <c r="Q106" i="1"/>
  <c r="R65" i="1"/>
  <c r="R67" i="1"/>
  <c r="S189" i="1"/>
  <c r="Q89" i="1"/>
  <c r="R119" i="1"/>
  <c r="Q185" i="1"/>
  <c r="R84" i="1"/>
  <c r="Q70" i="1"/>
  <c r="Q102" i="1"/>
  <c r="M46" i="1"/>
  <c r="Q94" i="1"/>
  <c r="Q109" i="1"/>
  <c r="S64" i="1"/>
  <c r="S116" i="1"/>
  <c r="S94" i="1"/>
  <c r="S165" i="1"/>
  <c r="Q99" i="1"/>
  <c r="R55" i="1"/>
  <c r="R33" i="1"/>
  <c r="R57" i="1"/>
  <c r="R82" i="1"/>
  <c r="Q65" i="1"/>
  <c r="Q30" i="1"/>
  <c r="Q37" i="1"/>
  <c r="Q67" i="1"/>
  <c r="R69" i="1"/>
  <c r="Q186" i="1"/>
  <c r="Q165" i="1"/>
  <c r="Q123" i="1"/>
  <c r="R41" i="1"/>
  <c r="Q122" i="1"/>
  <c r="Q52" i="1"/>
  <c r="Q84" i="1"/>
  <c r="R35" i="1"/>
  <c r="Q87" i="1"/>
  <c r="Q158" i="1"/>
  <c r="S43" i="1"/>
  <c r="Q161" i="1"/>
  <c r="R132" i="1"/>
  <c r="Q85" i="1"/>
  <c r="Q57" i="1"/>
  <c r="Q25" i="1"/>
  <c r="R14" i="1"/>
  <c r="Q14" i="1"/>
  <c r="R22" i="1"/>
  <c r="N32" i="1"/>
  <c r="Q33" i="1"/>
  <c r="N134" i="1"/>
  <c r="Q134" i="1" s="1"/>
  <c r="Q135" i="1"/>
  <c r="N127" i="1"/>
  <c r="Q128" i="1"/>
  <c r="N124" i="1"/>
  <c r="Q124" i="1" s="1"/>
  <c r="Q125" i="1"/>
  <c r="N147" i="1"/>
  <c r="Q147" i="1" s="1"/>
  <c r="Q148" i="1"/>
  <c r="N188" i="1"/>
  <c r="Q188" i="1" s="1"/>
  <c r="Q189" i="1"/>
  <c r="N141" i="1"/>
  <c r="Q142" i="1"/>
  <c r="N151" i="1"/>
  <c r="Q151" i="1" s="1"/>
  <c r="Q152" i="1"/>
  <c r="N21" i="1"/>
  <c r="Q21" i="1" s="1"/>
  <c r="Q22" i="1"/>
  <c r="N196" i="1"/>
  <c r="Q196" i="1" s="1"/>
  <c r="Q197" i="1"/>
  <c r="N149" i="1"/>
  <c r="Q149" i="1" s="1"/>
  <c r="Q150" i="1"/>
  <c r="N144" i="1"/>
  <c r="Q144" i="1" s="1"/>
  <c r="Q145" i="1"/>
  <c r="P134" i="1"/>
  <c r="S134" i="1" s="1"/>
  <c r="S135" i="1"/>
  <c r="P149" i="1"/>
  <c r="S149" i="1" s="1"/>
  <c r="S150" i="1"/>
  <c r="T111" i="1"/>
  <c r="S111" i="1"/>
  <c r="T104" i="1"/>
  <c r="S104" i="1"/>
  <c r="T170" i="1"/>
  <c r="S170" i="1"/>
  <c r="P144" i="1"/>
  <c r="S144" i="1" s="1"/>
  <c r="S145" i="1"/>
  <c r="T93" i="1"/>
  <c r="S93" i="1"/>
  <c r="T36" i="1"/>
  <c r="S36" i="1"/>
  <c r="T64" i="1"/>
  <c r="M188" i="1"/>
  <c r="M129" i="1"/>
  <c r="T48" i="1"/>
  <c r="S48" i="1"/>
  <c r="T60" i="1"/>
  <c r="S60" i="1"/>
  <c r="T182" i="1"/>
  <c r="S182" i="1"/>
  <c r="P21" i="1"/>
  <c r="S21" i="1" s="1"/>
  <c r="S22" i="1"/>
  <c r="T118" i="1"/>
  <c r="S118" i="1"/>
  <c r="T164" i="1"/>
  <c r="P196" i="1"/>
  <c r="S196" i="1" s="1"/>
  <c r="S197" i="1"/>
  <c r="P127" i="1"/>
  <c r="S128" i="1"/>
  <c r="P32" i="1"/>
  <c r="S33" i="1"/>
  <c r="T180" i="1"/>
  <c r="S180" i="1"/>
  <c r="T172" i="1"/>
  <c r="S172" i="1"/>
  <c r="T154" i="1"/>
  <c r="S154" i="1"/>
  <c r="P147" i="1"/>
  <c r="S147" i="1" s="1"/>
  <c r="S148" i="1"/>
  <c r="T105" i="1"/>
  <c r="M183" i="1"/>
  <c r="N183" i="1"/>
  <c r="L46" i="1"/>
  <c r="T59" i="1"/>
  <c r="O144" i="1"/>
  <c r="L24" i="1"/>
  <c r="O156" i="1"/>
  <c r="O124" i="1"/>
  <c r="O196" i="1"/>
  <c r="T173" i="1"/>
  <c r="O183" i="1"/>
  <c r="O149" i="1"/>
  <c r="T81" i="1"/>
  <c r="N27" i="1"/>
  <c r="O134" i="1"/>
  <c r="O151" i="1"/>
  <c r="T44" i="1"/>
  <c r="O160" i="1"/>
  <c r="Y160" i="1" s="1"/>
  <c r="O32" i="1"/>
  <c r="N34" i="1"/>
  <c r="O40" i="1"/>
  <c r="T101" i="1"/>
  <c r="T26" i="1"/>
  <c r="O175" i="1"/>
  <c r="O147" i="1"/>
  <c r="O13" i="1"/>
  <c r="Y13" i="1" s="1"/>
  <c r="M120" i="1"/>
  <c r="N175" i="1"/>
  <c r="N130" i="1"/>
  <c r="T94" i="1"/>
  <c r="T87" i="1"/>
  <c r="T102" i="1"/>
  <c r="T109" i="1"/>
  <c r="N156" i="1"/>
  <c r="T71" i="1"/>
  <c r="N16" i="1"/>
  <c r="L130" i="1"/>
  <c r="L129" i="1" s="1"/>
  <c r="L168" i="1"/>
  <c r="T189" i="1"/>
  <c r="L160" i="1"/>
  <c r="T161" i="1"/>
  <c r="T187" i="1"/>
  <c r="T148" i="1"/>
  <c r="T103" i="1"/>
  <c r="T181" i="1"/>
  <c r="L178" i="1"/>
  <c r="T96" i="1"/>
  <c r="T85" i="1"/>
  <c r="T121" i="1"/>
  <c r="T167" i="1"/>
  <c r="N40" i="1"/>
  <c r="T66" i="1"/>
  <c r="P156" i="1"/>
  <c r="T84" i="1"/>
  <c r="M113" i="1"/>
  <c r="T20" i="1"/>
  <c r="T163" i="1"/>
  <c r="T67" i="1"/>
  <c r="T38" i="1"/>
  <c r="P152" i="1"/>
  <c r="M178" i="1"/>
  <c r="O51" i="1"/>
  <c r="L153" i="1"/>
  <c r="L146" i="1" s="1"/>
  <c r="O178" i="1"/>
  <c r="T92" i="1"/>
  <c r="P55" i="1"/>
  <c r="O113" i="1"/>
  <c r="T65" i="1"/>
  <c r="P188" i="1"/>
  <c r="S188" i="1" s="1"/>
  <c r="P140" i="1"/>
  <c r="P123" i="1"/>
  <c r="N120" i="1"/>
  <c r="T162" i="1"/>
  <c r="T42" i="1"/>
  <c r="T106" i="1"/>
  <c r="O130" i="1"/>
  <c r="Y130" i="1" s="1"/>
  <c r="L183" i="1"/>
  <c r="M27" i="1"/>
  <c r="T89" i="1"/>
  <c r="T83" i="1"/>
  <c r="L141" i="1"/>
  <c r="R141" i="1" s="1"/>
  <c r="L63" i="1"/>
  <c r="T185" i="1"/>
  <c r="T97" i="1"/>
  <c r="T99" i="1"/>
  <c r="P155" i="1"/>
  <c r="T157" i="1"/>
  <c r="T43" i="1"/>
  <c r="N160" i="1"/>
  <c r="Q160" i="1" s="1"/>
  <c r="N51" i="1"/>
  <c r="T18" i="1"/>
  <c r="T177" i="1"/>
  <c r="L175" i="1"/>
  <c r="M137" i="1"/>
  <c r="M136" i="1" s="1"/>
  <c r="M63" i="1"/>
  <c r="T29" i="1"/>
  <c r="O168" i="1"/>
  <c r="M160" i="1"/>
  <c r="O137" i="1"/>
  <c r="O27" i="1"/>
  <c r="N168" i="1"/>
  <c r="N178" i="1"/>
  <c r="N46" i="1"/>
  <c r="Q46" i="1" s="1"/>
  <c r="P171" i="1"/>
  <c r="M168" i="1"/>
  <c r="N113" i="1"/>
  <c r="T77" i="1"/>
  <c r="M34" i="1"/>
  <c r="N137" i="1"/>
  <c r="N63" i="1"/>
  <c r="O46" i="1"/>
  <c r="T70" i="1"/>
  <c r="M72" i="1"/>
  <c r="T90" i="1"/>
  <c r="O63" i="1"/>
  <c r="M40" i="1"/>
  <c r="L137" i="1"/>
  <c r="M51" i="1"/>
  <c r="M50" i="1" s="1"/>
  <c r="M49" i="1" s="1"/>
  <c r="M16" i="1"/>
  <c r="M13" i="1" s="1"/>
  <c r="T88" i="1"/>
  <c r="O120" i="1"/>
  <c r="M192" i="1"/>
  <c r="M191" i="1" s="1"/>
  <c r="L16" i="1"/>
  <c r="L13" i="1" s="1"/>
  <c r="P138" i="1"/>
  <c r="P166" i="1"/>
  <c r="O34" i="1"/>
  <c r="N24" i="1"/>
  <c r="M153" i="1"/>
  <c r="M146" i="1" s="1"/>
  <c r="P52" i="1"/>
  <c r="L156" i="1"/>
  <c r="L40" i="1"/>
  <c r="T39" i="1"/>
  <c r="T179" i="1"/>
  <c r="T54" i="1"/>
  <c r="T91" i="1"/>
  <c r="T197" i="1"/>
  <c r="T143" i="1"/>
  <c r="T165" i="1"/>
  <c r="P125" i="1"/>
  <c r="T139" i="1"/>
  <c r="M175" i="1"/>
  <c r="N153" i="1"/>
  <c r="P132" i="1"/>
  <c r="P175" i="1"/>
  <c r="T17" i="1"/>
  <c r="T95" i="1"/>
  <c r="M156" i="1"/>
  <c r="P131" i="1"/>
  <c r="P112" i="1"/>
  <c r="L72" i="1"/>
  <c r="T176" i="1"/>
  <c r="T115" i="1"/>
  <c r="P46" i="1"/>
  <c r="L51" i="1"/>
  <c r="L50" i="1" s="1"/>
  <c r="L27" i="1"/>
  <c r="T68" i="1"/>
  <c r="T35" i="1"/>
  <c r="T58" i="1"/>
  <c r="P16" i="1"/>
  <c r="T41" i="1"/>
  <c r="T117" i="1"/>
  <c r="T45" i="1"/>
  <c r="T30" i="1"/>
  <c r="T37" i="1"/>
  <c r="L34" i="1"/>
  <c r="T119" i="1"/>
  <c r="T108" i="1"/>
  <c r="T122" i="1"/>
  <c r="L120" i="1"/>
  <c r="T142" i="1"/>
  <c r="P183" i="1"/>
  <c r="S183" i="1" s="1"/>
  <c r="T184" i="1"/>
  <c r="T86" i="1"/>
  <c r="T19" i="1"/>
  <c r="T158" i="1"/>
  <c r="T22" i="1"/>
  <c r="P113" i="1"/>
  <c r="T53" i="1"/>
  <c r="P27" i="1"/>
  <c r="S27" i="1" s="1"/>
  <c r="T57" i="1"/>
  <c r="T56" i="1"/>
  <c r="T100" i="1"/>
  <c r="T110" i="1"/>
  <c r="L32" i="1"/>
  <c r="T33" i="1"/>
  <c r="T98" i="1"/>
  <c r="T76" i="1"/>
  <c r="P141" i="1"/>
  <c r="T31" i="1"/>
  <c r="T190" i="1"/>
  <c r="T78" i="1"/>
  <c r="L113" i="1"/>
  <c r="L192" i="1"/>
  <c r="U191" i="1" s="1"/>
  <c r="T82" i="1"/>
  <c r="T114" i="1"/>
  <c r="P40" i="1"/>
  <c r="S40" i="1" s="1"/>
  <c r="T150" i="1"/>
  <c r="T28" i="1"/>
  <c r="T69" i="1"/>
  <c r="P34" i="1"/>
  <c r="L127" i="1"/>
  <c r="R127" i="1" s="1"/>
  <c r="T128" i="1"/>
  <c r="T135" i="1"/>
  <c r="P63" i="1"/>
  <c r="T145" i="1"/>
  <c r="P178" i="1"/>
  <c r="T133" i="1"/>
  <c r="T47" i="1"/>
  <c r="T169" i="1"/>
  <c r="Y168" i="1" l="1"/>
  <c r="Y178" i="1"/>
  <c r="Y175" i="1"/>
  <c r="S63" i="1"/>
  <c r="Y113" i="1"/>
  <c r="Y32" i="1"/>
  <c r="Y183" i="1"/>
  <c r="Y127" i="1"/>
  <c r="Y16" i="1"/>
  <c r="R46" i="1"/>
  <c r="Y46" i="1"/>
  <c r="R147" i="1"/>
  <c r="Y147" i="1"/>
  <c r="R151" i="1"/>
  <c r="Y151" i="1"/>
  <c r="R124" i="1"/>
  <c r="Y124" i="1"/>
  <c r="Y141" i="1"/>
  <c r="R188" i="1"/>
  <c r="Y188" i="1"/>
  <c r="R134" i="1"/>
  <c r="Y134" i="1"/>
  <c r="Y156" i="1"/>
  <c r="R149" i="1"/>
  <c r="Y149" i="1"/>
  <c r="Y34" i="1"/>
  <c r="Y51" i="1"/>
  <c r="R196" i="1"/>
  <c r="Y196" i="1"/>
  <c r="Y63" i="1"/>
  <c r="Y27" i="1"/>
  <c r="Y120" i="1"/>
  <c r="Y137" i="1"/>
  <c r="Y40" i="1"/>
  <c r="R144" i="1"/>
  <c r="Y144" i="1"/>
  <c r="Y153" i="1"/>
  <c r="S34" i="1"/>
  <c r="T149" i="1"/>
  <c r="S156" i="1"/>
  <c r="S178" i="1"/>
  <c r="Q63" i="1"/>
  <c r="R178" i="1"/>
  <c r="R130" i="1"/>
  <c r="R34" i="1"/>
  <c r="Q27" i="1"/>
  <c r="T196" i="1"/>
  <c r="T134" i="1"/>
  <c r="T21" i="1"/>
  <c r="Q24" i="1"/>
  <c r="R168" i="1"/>
  <c r="R40" i="1"/>
  <c r="S32" i="1"/>
  <c r="Q141" i="1"/>
  <c r="Q127" i="1"/>
  <c r="S113" i="1"/>
  <c r="R113" i="1"/>
  <c r="Q40" i="1"/>
  <c r="Q175" i="1"/>
  <c r="Q34" i="1"/>
  <c r="R32" i="1"/>
  <c r="S127" i="1"/>
  <c r="Q156" i="1"/>
  <c r="R13" i="1"/>
  <c r="R160" i="1"/>
  <c r="Q183" i="1"/>
  <c r="R16" i="1"/>
  <c r="Q168" i="1"/>
  <c r="Q120" i="1"/>
  <c r="Q32" i="1"/>
  <c r="R153" i="1"/>
  <c r="R63" i="1"/>
  <c r="R27" i="1"/>
  <c r="R175" i="1"/>
  <c r="S175" i="1"/>
  <c r="R120" i="1"/>
  <c r="Q113" i="1"/>
  <c r="R137" i="1"/>
  <c r="T144" i="1"/>
  <c r="R51" i="1"/>
  <c r="R156" i="1"/>
  <c r="N50" i="1"/>
  <c r="Q51" i="1"/>
  <c r="N129" i="1"/>
  <c r="Q129" i="1" s="1"/>
  <c r="Q130" i="1"/>
  <c r="N146" i="1"/>
  <c r="Q146" i="1" s="1"/>
  <c r="Q153" i="1"/>
  <c r="N174" i="1"/>
  <c r="Q178" i="1"/>
  <c r="N136" i="1"/>
  <c r="Q137" i="1"/>
  <c r="N13" i="1"/>
  <c r="Q13" i="1" s="1"/>
  <c r="Q16" i="1"/>
  <c r="T132" i="1"/>
  <c r="S132" i="1"/>
  <c r="T112" i="1"/>
  <c r="S112" i="1"/>
  <c r="T131" i="1"/>
  <c r="S131" i="1"/>
  <c r="T166" i="1"/>
  <c r="S166" i="1"/>
  <c r="O174" i="1"/>
  <c r="R183" i="1"/>
  <c r="T141" i="1"/>
  <c r="S141" i="1"/>
  <c r="P13" i="1"/>
  <c r="S13" i="1" s="1"/>
  <c r="S16" i="1"/>
  <c r="T155" i="1"/>
  <c r="S155" i="1"/>
  <c r="P151" i="1"/>
  <c r="S152" i="1"/>
  <c r="T32" i="1"/>
  <c r="P124" i="1"/>
  <c r="S125" i="1"/>
  <c r="T138" i="1"/>
  <c r="S138" i="1"/>
  <c r="T123" i="1"/>
  <c r="S123" i="1"/>
  <c r="T188" i="1"/>
  <c r="T171" i="1"/>
  <c r="S171" i="1"/>
  <c r="T55" i="1"/>
  <c r="S55" i="1"/>
  <c r="T46" i="1"/>
  <c r="S46" i="1"/>
  <c r="T127" i="1"/>
  <c r="T52" i="1"/>
  <c r="S52" i="1"/>
  <c r="T140" i="1"/>
  <c r="S140" i="1"/>
  <c r="T147" i="1"/>
  <c r="O136" i="1"/>
  <c r="Y136" i="1" s="1"/>
  <c r="O50" i="1"/>
  <c r="O146" i="1"/>
  <c r="O159" i="1"/>
  <c r="Y159" i="1" s="1"/>
  <c r="O129" i="1"/>
  <c r="T156" i="1"/>
  <c r="N23" i="1"/>
  <c r="P120" i="1"/>
  <c r="S120" i="1" s="1"/>
  <c r="L159" i="1"/>
  <c r="L136" i="1"/>
  <c r="L126" i="1" s="1"/>
  <c r="M174" i="1"/>
  <c r="T178" i="1"/>
  <c r="T40" i="1"/>
  <c r="P168" i="1"/>
  <c r="T125" i="1"/>
  <c r="N159" i="1"/>
  <c r="M126" i="1"/>
  <c r="T152" i="1"/>
  <c r="M62" i="1"/>
  <c r="M61" i="1" s="1"/>
  <c r="M159" i="1"/>
  <c r="L174" i="1"/>
  <c r="P160" i="1"/>
  <c r="T175" i="1"/>
  <c r="P153" i="1"/>
  <c r="T183" i="1"/>
  <c r="P51" i="1"/>
  <c r="P130" i="1"/>
  <c r="L62" i="1"/>
  <c r="L61" i="1" s="1"/>
  <c r="P137" i="1"/>
  <c r="T27" i="1"/>
  <c r="T16" i="1"/>
  <c r="T34" i="1"/>
  <c r="T63" i="1"/>
  <c r="L191" i="1"/>
  <c r="T113" i="1"/>
  <c r="P174" i="1"/>
  <c r="L23" i="1"/>
  <c r="L49" i="1"/>
  <c r="R50" i="1" l="1"/>
  <c r="Y50" i="1"/>
  <c r="R129" i="1"/>
  <c r="Y129" i="1"/>
  <c r="R146" i="1"/>
  <c r="Y146" i="1"/>
  <c r="Y174" i="1"/>
  <c r="R136" i="1"/>
  <c r="Q136" i="1"/>
  <c r="R174" i="1"/>
  <c r="S174" i="1"/>
  <c r="R159" i="1"/>
  <c r="N126" i="1"/>
  <c r="Q126" i="1" s="1"/>
  <c r="Q23" i="1"/>
  <c r="Q174" i="1"/>
  <c r="Q159" i="1"/>
  <c r="N49" i="1"/>
  <c r="Q50" i="1"/>
  <c r="P146" i="1"/>
  <c r="S153" i="1"/>
  <c r="P129" i="1"/>
  <c r="S130" i="1"/>
  <c r="T124" i="1"/>
  <c r="S124" i="1"/>
  <c r="T120" i="1"/>
  <c r="P50" i="1"/>
  <c r="T50" i="1" s="1"/>
  <c r="S51" i="1"/>
  <c r="P159" i="1"/>
  <c r="S159" i="1" s="1"/>
  <c r="S160" i="1"/>
  <c r="T168" i="1"/>
  <c r="S168" i="1"/>
  <c r="T137" i="1"/>
  <c r="S137" i="1"/>
  <c r="T13" i="1"/>
  <c r="T151" i="1"/>
  <c r="S151" i="1"/>
  <c r="O126" i="1"/>
  <c r="L207" i="1"/>
  <c r="O49" i="1"/>
  <c r="T153" i="1"/>
  <c r="T160" i="1"/>
  <c r="T130" i="1"/>
  <c r="P136" i="1"/>
  <c r="T51" i="1"/>
  <c r="T174" i="1"/>
  <c r="R49" i="1" l="1"/>
  <c r="Y49" i="1"/>
  <c r="R126" i="1"/>
  <c r="Y126" i="1"/>
  <c r="L12" i="1"/>
  <c r="U200" i="1"/>
  <c r="Q49" i="1"/>
  <c r="T159" i="1"/>
  <c r="T129" i="1"/>
  <c r="S129" i="1"/>
  <c r="T136" i="1"/>
  <c r="S136" i="1"/>
  <c r="T146" i="1"/>
  <c r="S146" i="1"/>
  <c r="P49" i="1"/>
  <c r="S50" i="1"/>
  <c r="P126" i="1"/>
  <c r="S126" i="1" s="1"/>
  <c r="S49" i="1" l="1"/>
  <c r="T49" i="1"/>
  <c r="T126" i="1"/>
  <c r="M25" i="1" l="1"/>
  <c r="M24" i="1" s="1"/>
  <c r="M23" i="1" s="1"/>
  <c r="H25" i="1"/>
  <c r="I25" i="1" s="1"/>
  <c r="P25" i="1" s="1"/>
  <c r="O25" i="1" l="1"/>
  <c r="P24" i="1"/>
  <c r="T25" i="1"/>
  <c r="S25" i="1"/>
  <c r="M207" i="1"/>
  <c r="M12" i="1" s="1"/>
  <c r="O24" i="1" l="1"/>
  <c r="R24" i="1" s="1"/>
  <c r="Y25" i="1"/>
  <c r="R25" i="1"/>
  <c r="S24" i="1"/>
  <c r="P23" i="1"/>
  <c r="T24" i="1"/>
  <c r="O23" i="1" l="1"/>
  <c r="Y24" i="1"/>
  <c r="S23" i="1"/>
  <c r="T23" i="1"/>
  <c r="Y23" i="1" l="1"/>
  <c r="R23" i="1"/>
  <c r="Q195" i="1" l="1"/>
  <c r="H194" i="1"/>
  <c r="H195" i="1" l="1"/>
  <c r="I195" i="1" s="1"/>
  <c r="P195" i="1" s="1"/>
  <c r="Q194" i="1"/>
  <c r="H193" i="1"/>
  <c r="Q193" i="1"/>
  <c r="I194" i="1"/>
  <c r="P194" i="1" s="1"/>
  <c r="R194" i="1"/>
  <c r="R195" i="1"/>
  <c r="R193" i="1" l="1"/>
  <c r="I193" i="1"/>
  <c r="P193" i="1" s="1"/>
  <c r="T195" i="1"/>
  <c r="S195" i="1"/>
  <c r="S194" i="1"/>
  <c r="T194" i="1"/>
  <c r="O192" i="1" l="1"/>
  <c r="Y192" i="1" s="1"/>
  <c r="S193" i="1"/>
  <c r="T193" i="1"/>
  <c r="P192" i="1"/>
  <c r="R192" i="1" l="1"/>
  <c r="O191" i="1"/>
  <c r="Y191" i="1" s="1"/>
  <c r="T192" i="1"/>
  <c r="S192" i="1"/>
  <c r="P191" i="1"/>
  <c r="R191" i="1" l="1"/>
  <c r="S191" i="1"/>
  <c r="T191" i="1"/>
  <c r="Q192" i="1" l="1"/>
  <c r="N191" i="1"/>
  <c r="Q191" i="1" l="1"/>
  <c r="H74" i="1" l="1"/>
  <c r="N74" i="1"/>
  <c r="Q74" i="1" s="1"/>
  <c r="H75" i="1"/>
  <c r="N75" i="1"/>
  <c r="Q75" i="1" s="1"/>
  <c r="H73" i="1"/>
  <c r="N73" i="1"/>
  <c r="H79" i="1"/>
  <c r="N79" i="1"/>
  <c r="Q79" i="1" s="1"/>
  <c r="H80" i="1"/>
  <c r="N80" i="1"/>
  <c r="Q80" i="1" s="1"/>
  <c r="I73" i="1" l="1"/>
  <c r="P73" i="1" s="1"/>
  <c r="O73" i="1"/>
  <c r="I79" i="1"/>
  <c r="P79" i="1" s="1"/>
  <c r="O79" i="1"/>
  <c r="Q73" i="1"/>
  <c r="N72" i="1"/>
  <c r="I75" i="1"/>
  <c r="O75" i="1"/>
  <c r="I80" i="1"/>
  <c r="P80" i="1" s="1"/>
  <c r="O80" i="1"/>
  <c r="I74" i="1"/>
  <c r="P74" i="1" s="1"/>
  <c r="O74" i="1"/>
  <c r="Y75" i="1" l="1"/>
  <c r="R75" i="1"/>
  <c r="P75" i="1"/>
  <c r="P72" i="1" s="1"/>
  <c r="Y79" i="1"/>
  <c r="R79" i="1"/>
  <c r="N62" i="1"/>
  <c r="Q72" i="1"/>
  <c r="Y74" i="1"/>
  <c r="R74" i="1"/>
  <c r="S74" i="1"/>
  <c r="T74" i="1"/>
  <c r="T79" i="1"/>
  <c r="S79" i="1"/>
  <c r="R80" i="1"/>
  <c r="Y80" i="1"/>
  <c r="Y73" i="1"/>
  <c r="O72" i="1"/>
  <c r="R73" i="1"/>
  <c r="S80" i="1"/>
  <c r="T80" i="1"/>
  <c r="S73" i="1"/>
  <c r="T73" i="1"/>
  <c r="P62" i="1" l="1"/>
  <c r="S72" i="1"/>
  <c r="T72" i="1"/>
  <c r="N61" i="1"/>
  <c r="Q62" i="1"/>
  <c r="T75" i="1"/>
  <c r="S75" i="1"/>
  <c r="Y72" i="1"/>
  <c r="O62" i="1"/>
  <c r="R72" i="1"/>
  <c r="Q61" i="1" l="1"/>
  <c r="N207" i="1"/>
  <c r="Y62" i="1"/>
  <c r="O61" i="1"/>
  <c r="R62" i="1"/>
  <c r="P61" i="1"/>
  <c r="S62" i="1"/>
  <c r="T62" i="1"/>
  <c r="T61" i="1" l="1"/>
  <c r="S61" i="1"/>
  <c r="P207" i="1"/>
  <c r="R61" i="1"/>
  <c r="Y61" i="1"/>
  <c r="O207" i="1"/>
  <c r="V191" i="1"/>
  <c r="V193" i="1" s="1"/>
  <c r="Q207" i="1"/>
  <c r="N12" i="1"/>
  <c r="Q12" i="1" l="1"/>
  <c r="U197" i="1"/>
  <c r="Y207" i="1"/>
  <c r="O12" i="1"/>
  <c r="R207" i="1"/>
  <c r="S207" i="1"/>
  <c r="P12" i="1"/>
  <c r="S12" i="1" s="1"/>
  <c r="T207" i="1"/>
  <c r="R12" i="1" l="1"/>
  <c r="Y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Izabela Pereira Lima Santos</author>
  </authors>
  <commentList>
    <comment ref="C16" authorId="0" shapeId="0" xr:uid="{67201763-2310-4003-8D1B-B73BC3C74E5E}">
      <text>
        <r>
          <rPr>
            <b/>
            <sz val="9"/>
            <color indexed="81"/>
            <rFont val="Segoe UI"/>
          </rPr>
          <t>Izabela Pereira Lima Santos:</t>
        </r>
        <r>
          <rPr>
            <sz val="9"/>
            <color indexed="81"/>
            <rFont val="Segoe UI"/>
          </rPr>
          <t xml:space="preserve">
Está medindo corte ou aterro?</t>
        </r>
      </text>
    </comment>
  </commentList>
</comments>
</file>

<file path=xl/sharedStrings.xml><?xml version="1.0" encoding="utf-8"?>
<sst xmlns="http://schemas.openxmlformats.org/spreadsheetml/2006/main" count="1927" uniqueCount="802">
  <si>
    <t>02.03.001</t>
  </si>
  <si>
    <t>02.04</t>
  </si>
  <si>
    <t>02.04.001</t>
  </si>
  <si>
    <t>02.04.002</t>
  </si>
  <si>
    <t>02.04.003</t>
  </si>
  <si>
    <t>02.04.004</t>
  </si>
  <si>
    <t>02.05.001</t>
  </si>
  <si>
    <t>02.05.002</t>
  </si>
  <si>
    <t>02.05.003</t>
  </si>
  <si>
    <t>02.03</t>
  </si>
  <si>
    <t>QTD</t>
  </si>
  <si>
    <t>SERVIÇOS PRELIMINARES</t>
  </si>
  <si>
    <t>Carga mecânica de material de 1ª categoria</t>
  </si>
  <si>
    <t>TERRAPLENAGEM</t>
  </si>
  <si>
    <t>m3</t>
  </si>
  <si>
    <t>ITEM</t>
  </si>
  <si>
    <t>DESCRIÇÃO</t>
  </si>
  <si>
    <t>UN</t>
  </si>
  <si>
    <t>01</t>
  </si>
  <si>
    <t>01.01</t>
  </si>
  <si>
    <t>01.01.001</t>
  </si>
  <si>
    <t>Manutenção do Canteiro</t>
  </si>
  <si>
    <t>un</t>
  </si>
  <si>
    <t>01.02</t>
  </si>
  <si>
    <t>01.02.001</t>
  </si>
  <si>
    <t>01.02.002</t>
  </si>
  <si>
    <t>01.02.003</t>
  </si>
  <si>
    <t>01.03</t>
  </si>
  <si>
    <t>01.03.001</t>
  </si>
  <si>
    <t>m2</t>
  </si>
  <si>
    <t>mês</t>
  </si>
  <si>
    <t>02</t>
  </si>
  <si>
    <t>02.01</t>
  </si>
  <si>
    <t>02.01.001</t>
  </si>
  <si>
    <t>02.01.002</t>
  </si>
  <si>
    <t>02.02</t>
  </si>
  <si>
    <t>02.02.001</t>
  </si>
  <si>
    <t>m</t>
  </si>
  <si>
    <t>02.02.002</t>
  </si>
  <si>
    <t>02.02.003</t>
  </si>
  <si>
    <t>02.02.004</t>
  </si>
  <si>
    <t>04</t>
  </si>
  <si>
    <t>04.01</t>
  </si>
  <si>
    <t>04.01.001</t>
  </si>
  <si>
    <t>04.01.002</t>
  </si>
  <si>
    <t>04.01.003</t>
  </si>
  <si>
    <t>05</t>
  </si>
  <si>
    <t>05.01</t>
  </si>
  <si>
    <t>05.01.001</t>
  </si>
  <si>
    <t>05.02</t>
  </si>
  <si>
    <t>05.02.001</t>
  </si>
  <si>
    <t>05.02.002</t>
  </si>
  <si>
    <t>05.03</t>
  </si>
  <si>
    <t>05.03.001</t>
  </si>
  <si>
    <t>05.03.002</t>
  </si>
  <si>
    <t>05.03.003</t>
  </si>
  <si>
    <t>05.04</t>
  </si>
  <si>
    <t>05.04.001</t>
  </si>
  <si>
    <t>05.04.002</t>
  </si>
  <si>
    <t>05.04.003</t>
  </si>
  <si>
    <t>05.04.004</t>
  </si>
  <si>
    <t>05.05</t>
  </si>
  <si>
    <t>05.05.001</t>
  </si>
  <si>
    <t>06</t>
  </si>
  <si>
    <t>06.01</t>
  </si>
  <si>
    <t>06.01.001</t>
  </si>
  <si>
    <t>06.01.002</t>
  </si>
  <si>
    <t>06.01.003</t>
  </si>
  <si>
    <t>06.02</t>
  </si>
  <si>
    <t>06.02.001</t>
  </si>
  <si>
    <t>06.02.002</t>
  </si>
  <si>
    <t>06.02.003</t>
  </si>
  <si>
    <t>06.02.004</t>
  </si>
  <si>
    <t>06.02.005</t>
  </si>
  <si>
    <t>07</t>
  </si>
  <si>
    <t>07.01</t>
  </si>
  <si>
    <t>07.01.001</t>
  </si>
  <si>
    <t>Sinalização noturna com tela tapume pvc, balde plástico fiação e lâmpada, reutilização 7 vezes</t>
  </si>
  <si>
    <t>Sinalização Diurna com Tela tapume em pvc - 10 usos</t>
  </si>
  <si>
    <t>07.01.002</t>
  </si>
  <si>
    <t>08</t>
  </si>
  <si>
    <t>08.01</t>
  </si>
  <si>
    <t>08.01.001</t>
  </si>
  <si>
    <t>08.01.002</t>
  </si>
  <si>
    <t>08.01.003</t>
  </si>
  <si>
    <t>Limpeza de ruas (varrição e remoção de entulhos)</t>
  </si>
  <si>
    <t>m²</t>
  </si>
  <si>
    <t>kg</t>
  </si>
  <si>
    <t>P UNIT S/ BDI</t>
  </si>
  <si>
    <t>TOTAL DO ORÇAMENTO</t>
  </si>
  <si>
    <t>CÓDIGO</t>
  </si>
  <si>
    <t>Entidade:</t>
  </si>
  <si>
    <t>03</t>
  </si>
  <si>
    <t>NOVATEC Construções e Empeendimentos Ltda.
Rua José de Alencar, nº  916 sala 703 Ilha do Leite Recife-PE CNPJ : 00.338.885/0001-33</t>
  </si>
  <si>
    <t>Prefeitura Municipal de São Cristóvão</t>
  </si>
  <si>
    <t>OBJETO: Seleção da melhor proposta para a execução das obras e serviços de construção da “Rodovia dos Trabalhadores”, que integrará a Rodovia SE-065 à Rodovia BR-101</t>
  </si>
  <si>
    <t>PLACA DA OBRA</t>
  </si>
  <si>
    <t>0051 / ORSE</t>
  </si>
  <si>
    <t>Placa de obra em chapa aço galvanizado, instalada</t>
  </si>
  <si>
    <t>SINALIZAÇÃO PROVISÓRIA</t>
  </si>
  <si>
    <t>10712 / ORSE</t>
  </si>
  <si>
    <t>Confecção de placa de sinalização totalmente refletiva</t>
  </si>
  <si>
    <t>10808 / ORSE</t>
  </si>
  <si>
    <t>Confecção suporte e travessa para placa de sinalização</t>
  </si>
  <si>
    <t>5158 / ORSE</t>
  </si>
  <si>
    <t>01.02.004</t>
  </si>
  <si>
    <t>5156 / ORSE</t>
  </si>
  <si>
    <t>INTERFERÊNCIAS</t>
  </si>
  <si>
    <t>3053 / ORSE</t>
  </si>
  <si>
    <t>Deslocamento de poste de concreto armado duplo T (DT) ou circular de 9 a 12m</t>
  </si>
  <si>
    <t>CANTEIRO DA OBRA</t>
  </si>
  <si>
    <t>LIMPEZA DE TERRENO</t>
  </si>
  <si>
    <t>0004 / ORSE</t>
  </si>
  <si>
    <t>Limpeza mecanizada do terreno c/ trator esteira (vegetaç ão rasteira) inclusive carga e transporte - dmt até 1 km</t>
  </si>
  <si>
    <t>4635 / ORSE</t>
  </si>
  <si>
    <t>Compactação de material de bota fora, com rolo vibratóri o pé de carneiro, sem controle do grau de compactação</t>
  </si>
  <si>
    <t>REVESTIMENTO PRIMÁRIO e= 0,12m</t>
  </si>
  <si>
    <t>11722 / ORSE</t>
  </si>
  <si>
    <t>Material para sub-base, cbr&gt;20,  adquirido solto na jazi da, inclusive carga, exclusive transporte</t>
  </si>
  <si>
    <t>Transporte com caminhão basculante de 10 m³ - rodovia em leito natural (SICRO 5914359 JULHO/2022)</t>
  </si>
  <si>
    <t>t.km</t>
  </si>
  <si>
    <t>Transporte com caminhão basculante de 10 m³ - rodovia em rodovia pavimentada (SICRO 5914389 JULHO/2022)</t>
  </si>
  <si>
    <t>2521 / ORSE</t>
  </si>
  <si>
    <t>Compactação de aterros, com rolo vibratório pé de carnei ro, a 95% do proctor normal</t>
  </si>
  <si>
    <t>TAPUME</t>
  </si>
  <si>
    <t>9142 / ORSE</t>
  </si>
  <si>
    <t>Tapume em chapa OSB LP (2,20x1,22m), esp = 10mm (1 uso)</t>
  </si>
  <si>
    <t>BARRACÕES</t>
  </si>
  <si>
    <t>0054 / ORSE</t>
  </si>
  <si>
    <t>Barracão para escritório de obra porte médio s=43,56m2 c om materiais novos</t>
  </si>
  <si>
    <t>0062 / ORSE</t>
  </si>
  <si>
    <t>Barracão fechado porte pequeno para depósito de cimento e almoxarifado (s=38,72 m2) com materiais novos</t>
  </si>
  <si>
    <t>11703 / ORSE</t>
  </si>
  <si>
    <t>Barracão aberto para apoio à produção (carpintaria, cent ral de armação, oficina, etc.) c/ tesouras, telha 4mm, p iso em concreto desempolado</t>
  </si>
  <si>
    <t>0061 / ORSE</t>
  </si>
  <si>
    <t>Barracão aberto para refeitório de obra (capacidade 24 r efeições simultâneas)-s=61,60m2 com materiais novos</t>
  </si>
  <si>
    <t>02.04.005</t>
  </si>
  <si>
    <t>10184 / ORSE</t>
  </si>
  <si>
    <t>Barracão para banheiro e vestiário de obra, s=35,10m², c apacidade 20 operários com materiais novos</t>
  </si>
  <si>
    <t>02.05</t>
  </si>
  <si>
    <t>LIGAÇÕES PROVISÓRIAS</t>
  </si>
  <si>
    <t>6096 / ORSE</t>
  </si>
  <si>
    <t>Ligação Predial de Água em Mureta de Concreto, Provisóri a ou Definitiva, com Fornecimento de Material, inclusive Mureta e Hidrômetro, Rede DN 50mm</t>
  </si>
  <si>
    <t>um</t>
  </si>
  <si>
    <t xml:space="preserve">Entrada provisoria de energia eletrica aerea trifasica 4 0a em poste madeira	</t>
  </si>
  <si>
    <t>1711 / ORSE</t>
  </si>
  <si>
    <t>Fossa séptica pré-moldada, tipo oms, capacidade 30 pessoas (v=2710 litros)</t>
  </si>
  <si>
    <t>02.05.004</t>
  </si>
  <si>
    <t>1747 / ORSE</t>
  </si>
  <si>
    <t>Sumidouro paredes com blocos cerâmicos 6 furos e dimensões internas de 3,00 x 1,50 x 1,50 m</t>
  </si>
  <si>
    <t>02.05.005</t>
  </si>
  <si>
    <t>10390 / ORSE</t>
  </si>
  <si>
    <t>Aluguel de banheiro químico, com limpezas diárias</t>
  </si>
  <si>
    <t>02.06</t>
  </si>
  <si>
    <t>ÁREA PARA PRÉ-MOLDADOS</t>
  </si>
  <si>
    <t>02.06.001</t>
  </si>
  <si>
    <t>3642 / ORSE</t>
  </si>
  <si>
    <t>Lona plástica preta</t>
  </si>
  <si>
    <t>02.06.002</t>
  </si>
  <si>
    <t>11807 / ORSE</t>
  </si>
  <si>
    <t>Piso em concreto simples desempolado, fck = 21 MPa, e = 10 cm, com forma em quadros 2,0x2,0m, para juntas de comcretagem - tres usos - Rev 01</t>
  </si>
  <si>
    <t>03.01</t>
  </si>
  <si>
    <t>03.01.001</t>
  </si>
  <si>
    <t>PISTA</t>
  </si>
  <si>
    <t>03.01.001.001</t>
  </si>
  <si>
    <t>Escavação, carga e transporte em material de 1ª categoria - DMT de 50 m (SICRO 5501710 JULHO/2021)</t>
  </si>
  <si>
    <t>03.01.001.002</t>
  </si>
  <si>
    <t>Escavação, carga e transporte de material de 1ª categoria - DMT de 50 a 200 m - caminho de serviço em leito natural - com carregadeira e caminhão basculante de 14 m³ (SICRO 5501875 JULHO/2021)</t>
  </si>
  <si>
    <t>03.01.001.003</t>
  </si>
  <si>
    <t>Escavação, carga e transporte de material de 1ª categoria - DMT de 200 a 400 m - caminho de serviço em leito natural - com carregadeira e caminhão basculante de 14 m³ (5501876)</t>
  </si>
  <si>
    <t>03.01.001.004</t>
  </si>
  <si>
    <t>Escavação, carga e transporte de material de 1ª categoria - DMT de 600 a 800 m - caminho de serviço em leito natural - com carregadeira e caminhão basculante de 14 m³ (SICRO 5501878 JULHO/2021)</t>
  </si>
  <si>
    <t>03.01.001.005</t>
  </si>
  <si>
    <t>Escavação, carga e transporte de material de 1ª categoria - DMT de 1.000 a 1.200 m - caminho de serviço em leito natural - com carregadeira e caminhão basculante de 14 m3</t>
  </si>
  <si>
    <t>03.01.001.006</t>
  </si>
  <si>
    <t>Escavação, carga e transporte de material de 1ª categoria - DMT de 1.200 a 1.400 m - caminho de serviço em leito natural - com carregadeira e caminhão basculante de 14 m³ (SICRO 5501881 JULHO/2021)</t>
  </si>
  <si>
    <t>03.01.001.007</t>
  </si>
  <si>
    <t>Escavação, carga e transporte de material de 1ª categoria - DMT de 2.000 a 2.500 m - caminho de serviço em leito natural - com carregadeira e caminhão basculante de 14 m³ (SICRO 5501885 JULHO/2021)</t>
  </si>
  <si>
    <t>03.01.001.008</t>
  </si>
  <si>
    <t>Transporte de material de 1ª cat (DMT &gt; 3km), c/ caminhão basculante - revestimento primário (SICRO 5915320 JULH
O/2021)</t>
  </si>
  <si>
    <t>03.01.001.009</t>
  </si>
  <si>
    <t>Compactação de aterros a 100% do Proctor normal (SICRO 5 502978 JULHO/2021)</t>
  </si>
  <si>
    <t>DRENAGEM PLUVIAL</t>
  </si>
  <si>
    <t>MOVIMENTO DE TERRA NA DRENAGEM</t>
  </si>
  <si>
    <t>04.01.001.001</t>
  </si>
  <si>
    <t>7133 / ORSE</t>
  </si>
  <si>
    <t>Escoramento metálico p/ valas, h&lt;=2.50 m, com pranchas m etálicas de 4,7 mm x 30 cm e longarinas em peças de made ira de 3"x6",  reaproveitamento : 60 vezes</t>
  </si>
  <si>
    <t>04.01.001.002</t>
  </si>
  <si>
    <t>7081 / ORSE</t>
  </si>
  <si>
    <t>Bombeamento direto p/ esgotamento de valas com Gerador</t>
  </si>
  <si>
    <t>H</t>
  </si>
  <si>
    <t>04.01.001.003</t>
  </si>
  <si>
    <t>2503 / ORSE</t>
  </si>
  <si>
    <t>Escavação com retro-escavadeira de pneus, de valas, em m aterial de 1ª categoria até 1,50m de profundidade</t>
  </si>
  <si>
    <t>04.01.001.004</t>
  </si>
  <si>
    <t>2504 / ORSE</t>
  </si>
  <si>
    <t>Escavação com retro-escavadeira de pneus, de valas, em m aterial de 1ª categoria entre 1,50 e 3,00m de profundida de</t>
  </si>
  <si>
    <t>04.01.001.005</t>
  </si>
  <si>
    <t>2497 / ORSE</t>
  </si>
  <si>
    <t>Escavação manual de vala ou cava em material de 1ª categ oria, profundidade até 1,50m</t>
  </si>
  <si>
    <t>04.01.001.006</t>
  </si>
  <si>
    <t>2519 / ORSE</t>
  </si>
  <si>
    <t>Reaterro manual de valas ou áreas, com espalhamento e co mpactação, utilizando compactador à percussão/sapinho, s em controle do grau de compactação</t>
  </si>
  <si>
    <t>04.01.001.007</t>
  </si>
  <si>
    <t>4986 / ORSE</t>
  </si>
  <si>
    <t>04.01.001.008</t>
  </si>
  <si>
    <t>Transporte com caminhão basculante de 10 m³ - rodovia em leito natural (SICRO 5914359 JULHO/2022) (DMT=0,5km)</t>
  </si>
  <si>
    <t>DISPOSITIVOS DE DRENAGEM PLUVIAL</t>
  </si>
  <si>
    <t>04.01.002.001</t>
  </si>
  <si>
    <t>Sarjeta triangular de concreto - STC 01 - areia e brita comerciais (SICRO 2003319 JULHO/2022)</t>
  </si>
  <si>
    <t>04.01.002.002</t>
  </si>
  <si>
    <t>Sarjeta triangular de concreto - STC 03 - areia e brita comerciais (SICRO 2003323 JULHO/2022)</t>
  </si>
  <si>
    <t>04.01.002.003</t>
  </si>
  <si>
    <t>Sarjeta trapezoidal de concreto - SZC 01 - areia e brita comerciais (SICRO 2003343 JULHO/2022)</t>
  </si>
  <si>
    <t>04.01.002.004</t>
  </si>
  <si>
    <t>Sarjeta de canteiro central de concreto - SCC 03 - areia e brita comerciais (SICRO 2003353 JULHO/2022)</t>
  </si>
  <si>
    <t>04.01.002.005</t>
  </si>
  <si>
    <t>Sarjeta de canteiro central de concreto - SCC 04 - areia e brita comerciais (SICRO 2003355 JULHO/2022)</t>
  </si>
  <si>
    <t>04.01.002.006</t>
  </si>
  <si>
    <t>Valeta de proteção de cortes com revestimento de concret o - VPC 03 - areia e brita comerciais (SICRO 2003307 JUL HO/2022)</t>
  </si>
  <si>
    <t>04.01.002.007</t>
  </si>
  <si>
    <t>Meio-fio de concreto - MFC 03 - areia e brita comerciais
- fôrma de madeira (SICRO 2003373 JULHO/2022)</t>
  </si>
  <si>
    <t>04.01.002.008</t>
  </si>
  <si>
    <t>Meio-fio de concreto - MFC 05 - areia e brita comerciais
- fôrma de madeira (SICRO 2003377 JULHO/2022)</t>
  </si>
  <si>
    <t>04.01.002.009</t>
  </si>
  <si>
    <t>Entrada para descida d’água - EDA 01 - areia e brita com erciais (SICRO 2003385 JULHO/2022)</t>
  </si>
  <si>
    <t>ud</t>
  </si>
  <si>
    <t>04.01.002.010</t>
  </si>
  <si>
    <t>Entrada para descida d’água - EDA 02 - areia e brita com erciais (SICRO 2003387 JULHO/2022)</t>
  </si>
  <si>
    <t>04.01.002.011</t>
  </si>
  <si>
    <t>Transposição de segmentos de sarjeta - TSS 03 - areia e brita comerciais (SICRO 2003361 JULHO/2022)</t>
  </si>
  <si>
    <t>04.01.002.012</t>
  </si>
  <si>
    <t>Descida d’água de aterros em degraus - DAD 02 - areia e brita comerciais (SICRO 2003407 JULHO/2022)</t>
  </si>
  <si>
    <t>04.01.002.013</t>
  </si>
  <si>
    <t>Descida d’água de aterros tipo rápido - DAR 03 - areia e
brita comerciais (SICRO 2003393 JULHO/2022)</t>
  </si>
  <si>
    <t xml:space="preserve">04.01.002.014               </t>
  </si>
  <si>
    <t>Dissipador de energia - DEB 01 - areia, brita e pedra de
mão comerciais (SICRO 2003449 JULHO/2022)</t>
  </si>
  <si>
    <t xml:space="preserve">04.01.002.015               </t>
  </si>
  <si>
    <t>Dissipador de energia - DEB 02 - areia, brita e pedra de
mão comerciais (SICRO 2003451 JULHO/2022)</t>
  </si>
  <si>
    <t xml:space="preserve">04.01.002.016 </t>
  </si>
  <si>
    <t>Dissipador de energia - DEB 03 - areia, brita e pedra de
mão comerciais (SICRO 2003453 JULHO/2022)</t>
  </si>
  <si>
    <t xml:space="preserve">04.01.002.017 </t>
  </si>
  <si>
    <t>Dissipador de energia - DEB 04 - areia, brita e pedra de
mão comerciais (SICRO 2003455 JULHO/2022)</t>
  </si>
  <si>
    <t xml:space="preserve">04.01.002.018               </t>
  </si>
  <si>
    <t>Dissipador de energia - DEB 06 - areia, brita e pedra de
mão comerciais (SICRO 2003459 JULHO/2022)</t>
  </si>
  <si>
    <t>04.01.002.019</t>
  </si>
  <si>
    <t>Dissipador de energia - DEB 09 - areia, brita e pedra de
mão comerciais (SICRO 2003465 JULHO/2022)</t>
  </si>
  <si>
    <t>04.01.002.020</t>
  </si>
  <si>
    <t>Dissipador de energia - DES 03 - areia e pedra de mão co
merciais (SICRO 2003445 JULHO/2022)</t>
  </si>
  <si>
    <t xml:space="preserve">04.01.002.021               </t>
  </si>
  <si>
    <t>Dissipador de energia - DES 02 - areia e pedra de mão co
merciais (SICRO 2003443 JULHO/2022)</t>
  </si>
  <si>
    <t xml:space="preserve">04.01.002.022 </t>
  </si>
  <si>
    <t>Caixa coletora de talvegue - CCT 02 - areia e brita come
rciais (SICRO 2003730 JULHO/2022)</t>
  </si>
  <si>
    <t xml:space="preserve">04.01.002.023              </t>
  </si>
  <si>
    <t>Caixa coletora de talvegue - CCT 04 - areia e brita come
rciais (SICRO 2003734 JULHO/2022</t>
  </si>
  <si>
    <t xml:space="preserve">04.01.002.024         </t>
  </si>
  <si>
    <t>Caixa coletora de talvegue - CCT 06 - areia e brita come
rciais (SICRO 2003738 JULHO/2022)</t>
  </si>
  <si>
    <t xml:space="preserve">04.01.002.025   </t>
  </si>
  <si>
    <t>Caixa coletora de talvegue - CCT 10 - areia e brita come
rciais (SICRO 2003746 JULHO/2022)</t>
  </si>
  <si>
    <t xml:space="preserve">04.01.002.026       </t>
  </si>
  <si>
    <t>Boca de BSTC D = 0,60 m - esconsidade 0° - areia e brita
comerciais - alas retas (SICRO 0804081 JULHO/2022)</t>
  </si>
  <si>
    <t xml:space="preserve">04.01.002.027   </t>
  </si>
  <si>
    <t>Boca de BSTC D = 0,80 m - esconsidade 0° - areia e brita
comerciais - alas retas (SICRO 0804101 JULHO/2022)</t>
  </si>
  <si>
    <t xml:space="preserve">04.01.002.028 </t>
  </si>
  <si>
    <t>Boca de BSTC D = 1,20 m - esconsidade 0° - areia e brita  comerciais - alas retas (SICRO 0804141 JULHO/2022)</t>
  </si>
  <si>
    <t>04.01.002.029</t>
  </si>
  <si>
    <t>Boca de BDTC D = 1,20 m - esconsidade 0° - areia e brita comerciais - alas retas (SICRO 0804253 JULHO/2022)</t>
  </si>
  <si>
    <t>04.01.002.030</t>
  </si>
  <si>
    <t>Boca de BDCC 3,00 x 3,00 m - esconsidade 0° - areia e br ita comerciais (SICRO 0705338 JULHO/2022)</t>
  </si>
  <si>
    <t>04.01.002.031</t>
  </si>
  <si>
    <t>Corpo de BDCC 3,00 x 3,00 m - moldado no local - altura do aterro 2,50 a 5,00 m - areia e brita comerciais (SICR O 0705303 JULHO/2022)</t>
  </si>
  <si>
    <t>04.01.002.032</t>
  </si>
  <si>
    <t>6320 / ORSE</t>
  </si>
  <si>
    <t>Lastro de concreto, fck=15 mpa, lançado e adensado</t>
  </si>
  <si>
    <t>04.01.002.033</t>
  </si>
  <si>
    <t>Corpo de BSTC D = 0,40 m PA2 - areia, brita e pedra de m ão comerciais (SICRO 0804015 JULHO/2022)</t>
  </si>
  <si>
    <t>04.01.002.034</t>
  </si>
  <si>
    <t>Corpo de BSTC D = 0,60 m PA2 - areia, brita e pedra de m ão comerciais (SICRO 0804023 JULHO/2022)</t>
  </si>
  <si>
    <t>04.01.002.035</t>
  </si>
  <si>
    <t>Corpo de BSTC D = 0,80 m PA2 - areia, brita e pedra de m ão comerciais (SICRO 0804031 JULHO/2022)</t>
  </si>
  <si>
    <t>04.01.002.036</t>
  </si>
  <si>
    <t>Corpo de BSTC D = 1,20 m PA2 - areia, brita e pedra de m ão comerciais (SICRO 0804047 JULHO/2022)</t>
  </si>
  <si>
    <t>04.01.002.037</t>
  </si>
  <si>
    <t>Corpo de BDTC D = 1,20 m PA2 - areia, brita e pedra de m
ão comerciais (SICRO 0804199 JULHO/2022)</t>
  </si>
  <si>
    <t>04.01.002.038</t>
  </si>
  <si>
    <t>1108 / CTENG</t>
  </si>
  <si>
    <r>
      <rPr>
        <sz val="10"/>
        <rFont val="Arial"/>
        <family val="2"/>
      </rPr>
      <t>Poço de visita em alvenaria tij. maciços esp.=0,20m, dim
. int.= 1,20x1,20x1,60m</t>
    </r>
  </si>
  <si>
    <t>04.01.002.039</t>
  </si>
  <si>
    <t>1359 / CTENG</t>
  </si>
  <si>
    <r>
      <rPr>
        <sz val="10"/>
        <rFont val="Arial"/>
        <family val="2"/>
      </rPr>
      <t>Boca de lobo simples em alvenaria de tij. maçicos esp.=0
,20m, combinada (grelha e gaveta) h= 1,50m</t>
    </r>
  </si>
  <si>
    <t>04.01.002.040</t>
  </si>
  <si>
    <t>2725 / ORSE</t>
  </si>
  <si>
    <t>Complemento de altura para poço de visita em alvenaria c om tijolos maciços esp. = 0,20m.</t>
  </si>
  <si>
    <t>CANAL DE CONCRETO ARMADO (S: 1,2x0,85m) L=79,50m</t>
  </si>
  <si>
    <t>04.01.003.001</t>
  </si>
  <si>
    <t>0122 / ORSE</t>
  </si>
  <si>
    <t>Forma plana para estruturas, em compensado plastificado de 14mm, 05 usos, inclusive escoramento - Revisada 07.20 15</t>
  </si>
  <si>
    <t>04.01.003.002</t>
  </si>
  <si>
    <t>0140 / ORSE</t>
  </si>
  <si>
    <t>Aço CA - 50 Ø 6,3 a 12,5mm, inclusive corte, dobragem, m ontagem e colocacao de ferragens nas formas, para supere struturas e fundações - R1</t>
  </si>
  <si>
    <t>04.01.003.003</t>
  </si>
  <si>
    <t>0141 / ORSE</t>
  </si>
  <si>
    <t>Aço CA - 60 Ø 4,2 a 9,5mm, inclusive corte, dobragem, mo ntagem e colocacao de ferragens nas formas, para superes truturas e fundações - R1</t>
  </si>
  <si>
    <t>04.01.003.004</t>
  </si>
  <si>
    <t>11485 / ORSE</t>
  </si>
  <si>
    <t>Concreto simples usinado fck=40mpa, bombeado, lançado e adensado na infraestrutura</t>
  </si>
  <si>
    <t>04.01.003.005</t>
  </si>
  <si>
    <t>9154 / ORSE</t>
  </si>
  <si>
    <t>Impermeabilização - Fornecimento e aplicação de manta ge otéxtil RT-21, resistencia a tração=21 kN/m (antigo Bidi m OP-40 ou similar) em colchões drenantes</t>
  </si>
  <si>
    <t>04.01.003.006</t>
  </si>
  <si>
    <t>94962 / SINAPI</t>
  </si>
  <si>
    <t>Concreto magro para lastro, traço 1:4,5:4,5 (em massa se ca de cimento/ areia média/ brita 1) - preparo mecânico com betoneira 400 l. af_05/2021</t>
  </si>
  <si>
    <t>04.01.004</t>
  </si>
  <si>
    <t>CAIXAS COLETORAS DE TALVEGUE (alturas menores que as do projeto tipico)</t>
  </si>
  <si>
    <t>04.01.004.001</t>
  </si>
  <si>
    <t>04.01.004.002</t>
  </si>
  <si>
    <t>04.01.004.003</t>
  </si>
  <si>
    <t>12651 / ORSE</t>
  </si>
  <si>
    <t>Apiloamento manual</t>
  </si>
  <si>
    <t>04.01.005</t>
  </si>
  <si>
    <t>TAMPONAMENTO DE CAIXAS COLETORAS DE TALVEGUE</t>
  </si>
  <si>
    <t>04.01.005.001</t>
  </si>
  <si>
    <t>6457 / ORSE</t>
  </si>
  <si>
    <t>Concreto armado fck=15MPa fabricado na obra, adensado e lançado, para Uso Geral, com formas planas em compensado resinado 12mm (05 usos)</t>
  </si>
  <si>
    <t>PAVIMENTAÇÃO</t>
  </si>
  <si>
    <t>REGULARIZACAO</t>
  </si>
  <si>
    <t>Regularização do subleito (SICRO 4011209 JULHO/2022)</t>
  </si>
  <si>
    <t>SUBBASE</t>
  </si>
  <si>
    <t>AQUISIÇÃO DO MATERIAL DE SUB-BASE DA JAZIDA JABOTIANA</t>
  </si>
  <si>
    <t>05.02.001.001</t>
  </si>
  <si>
    <t>05.02.001.002</t>
  </si>
  <si>
    <t>Transporte com caminhão basculante de 10 m³ - rodovia pa vimentada (SICRO 5914389 JULHO/2022)</t>
  </si>
  <si>
    <t>05.02.001.003</t>
  </si>
  <si>
    <t>EXECUÇÃO DE SUB-BASE</t>
  </si>
  <si>
    <t>05.02.002.001</t>
  </si>
  <si>
    <t>2563 / ORSE</t>
  </si>
  <si>
    <t>Sub-base estabilizada granulometricamente sem mistura (e xclusive material de sub-base)</t>
  </si>
  <si>
    <t>BASE</t>
  </si>
  <si>
    <t>AQUISIÇÃO DE SOLO DE SUB-BASE DA JAZIDA JABOTIANA</t>
  </si>
  <si>
    <t>05.03.001.001</t>
  </si>
  <si>
    <t>11710 / ORSE</t>
  </si>
  <si>
    <t>Material para sub-base com cbr&gt;20, inclusive aquisição, escavação e carga na jazida (medido pelo corte), exclusi ve limpeza da área e transporte</t>
  </si>
  <si>
    <t>05.03.001.002</t>
  </si>
  <si>
    <t>05.03.001.003</t>
  </si>
  <si>
    <t>AQUISIÇÃO DE PEDRA DA PEDREIRA MM</t>
  </si>
  <si>
    <t>05.03.002.001</t>
  </si>
  <si>
    <t>4748 / SINAPI</t>
  </si>
  <si>
    <t>Pedra britada ou bica corrida, nao classificada (posto p edreira/fornecedor, sem frete)</t>
  </si>
  <si>
    <t>05.03.002.002</t>
  </si>
  <si>
    <t>EXECUÇÃO DE BASE</t>
  </si>
  <si>
    <t>05.03.003.001</t>
  </si>
  <si>
    <t>1519 / CTENG</t>
  </si>
  <si>
    <t>Base com solo-brita, misturado na pista (exclusive mater ial de base e brita)</t>
  </si>
  <si>
    <t>CAPA ASFÁLTICA</t>
  </si>
  <si>
    <t>IMPRIMAÇÃO</t>
  </si>
  <si>
    <t>05.04.001.001</t>
  </si>
  <si>
    <t>3428 / ORSE</t>
  </si>
  <si>
    <r>
      <rPr>
        <sz val="10"/>
        <rFont val="Arial"/>
        <family val="2"/>
      </rPr>
      <t>Imprimação aplicada em execução de rodovias (prod. = 1.2
50 m2/h), sem fornecimento de material e sem transporte</t>
    </r>
  </si>
  <si>
    <t>PINTURA DE LIGAÇÃO</t>
  </si>
  <si>
    <t>05.04.002.001</t>
  </si>
  <si>
    <t>7176 / ORSE</t>
  </si>
  <si>
    <t>Execução de pintura asfáltica de ligação, exclusive forn ecimento de ligante</t>
  </si>
  <si>
    <t>C.A.U.Q</t>
  </si>
  <si>
    <t>05.04.003.001</t>
  </si>
  <si>
    <t>1353 / CTENG</t>
  </si>
  <si>
    <t>Execução de pavimento com aplicação de concreto asfáltic o, sem cap, camada de rolamento - exclusive carga e tran sporte</t>
  </si>
  <si>
    <t>TRANSPORTE de C.A.U.Q</t>
  </si>
  <si>
    <t>05.04.004.001</t>
  </si>
  <si>
    <t>00985 / SINAPI</t>
  </si>
  <si>
    <t>Carga de mistura asfáltica em caminhão basculante 6 m³ ( unidade: m3). af_07/2020</t>
  </si>
  <si>
    <t>05.04.004.002</t>
  </si>
  <si>
    <t>Transporte de mistura betuminosa a quente com caminhão c om caçamba térmica de 6m³ - rodovia pavimentada (SICRO 5 914612 JULHO/2022)</t>
  </si>
  <si>
    <t>CTENG 1389</t>
  </si>
  <si>
    <t>Execução de pavimento em paralelepípedos, rejuntamento com argamassa traço 1:3 (cimento e areia). af_05/2020 (CTENG 1389)</t>
  </si>
  <si>
    <t>05.05.002</t>
  </si>
  <si>
    <t>4960 / ORSE</t>
  </si>
  <si>
    <t>Meio-fio granítico, rejuntado com argamassa de cimento e areia no traço 1:3</t>
  </si>
  <si>
    <t>SINALIZAÇÃO VIARIA</t>
  </si>
  <si>
    <t>SINALIZAÇÃO VERTICAL</t>
  </si>
  <si>
    <t>Placa de regulamentação em aço, R1 lado 0,414 m - película retrorrefletiva tipo I + SI - fornecimento e implantação (SICRO 5213446 JULHO2022)</t>
  </si>
  <si>
    <t>Placa de regulamentação em aço, R2 lado 1,00 m - película retrorrefletiva tipo I + SI - fornecimento e implantação (SICRO 5213450 JULHO/2022)</t>
  </si>
  <si>
    <t>Placa de regulamentação em aço D = 1,00 m - película retrorrefletiva tipo I + SI - fornecimento e implantação (SICRO 5213442 JULHO/2022)</t>
  </si>
  <si>
    <t>06.01.004</t>
  </si>
  <si>
    <t>Placa de advertência em aço, lado de 1,00 m - película retrorrefletiva tipo I + SI - fornecimento e implantação(SICRO 5213466 JULHO/2022)</t>
  </si>
  <si>
    <t>06.01.005</t>
  </si>
  <si>
    <t>Placa em aço - 2,00 x 1,00 m - película retrorrefletiva tipo I + III - fornecimento e implantação (SICRO 5213498JULHO/2022)</t>
  </si>
  <si>
    <t>06.01.006</t>
  </si>
  <si>
    <t>Placa em aço - película I + III - fornecimento e implantação (SICRO 5213571 JULHO/2022)</t>
  </si>
  <si>
    <t>06.01.007</t>
  </si>
  <si>
    <t>Suporte para placa de sinalização em madeira de lei tratada 8 x 8 cm - fornecimento e implantação (SICRO 5216111 JULHO/2022)</t>
  </si>
  <si>
    <t>SINALIZAÇÃO HORIZONTAL</t>
  </si>
  <si>
    <t>Pintura de faixa com plástico a frio tricomponente à base de resinas metacrílicas por aspersão - espessura de 0,6 mm (SICRO 5213413 JULHO/2022)</t>
  </si>
  <si>
    <t>Pintura de setas e zebrados com tinta acrílica - espessura de 0,6 mm (SICRO 5213405 JULHO/2022)</t>
  </si>
  <si>
    <t>02509 / SINAPI</t>
  </si>
  <si>
    <t>Pintura de faixa de pedestre ou zebrada tinta retrorrefletiva a base de resina acrílica com microesferas de vidro, e = 30 cm, aplicação manual. af_05/2021</t>
  </si>
  <si>
    <t>Tacha refletiva em resina sintética - bidirecional tipo III - com um pino - fornecimento e colocação (SICRO 5219623 JULHO/2022)</t>
  </si>
  <si>
    <t>Tacha refletiva em resina sintética - monodirecional tipo III - com um pino - fornecimento e colocação (SICRO 5219631 JULHO/2022)</t>
  </si>
  <si>
    <t>OBRAS COMPLEMENTARES</t>
  </si>
  <si>
    <t>PROTECAO VEGETAL</t>
  </si>
  <si>
    <t>4405 / ORSE</t>
  </si>
  <si>
    <t>Grama nativa capim de burro ou batatais, em placas, fornecimento e plantio</t>
  </si>
  <si>
    <t>9251 / ORSE</t>
  </si>
  <si>
    <t>Hidrossemeadura</t>
  </si>
  <si>
    <t>07.02</t>
  </si>
  <si>
    <t>DIVERSOS</t>
  </si>
  <si>
    <t>07.02.001</t>
  </si>
  <si>
    <t>6170 / ORSE</t>
  </si>
  <si>
    <t>Religação de corte no ramal</t>
  </si>
  <si>
    <t>07.02.002</t>
  </si>
  <si>
    <t>02498 / SINAPI</t>
  </si>
  <si>
    <t>Pintura de meio-fio com tinta branca a base de cal (caia ção). af_05/2021</t>
  </si>
  <si>
    <t>07.02.003</t>
  </si>
  <si>
    <t>6191 / ORSE</t>
  </si>
  <si>
    <t>07.02.004</t>
  </si>
  <si>
    <t>Cerca com 4 fios de arame farpado e mourão de madeira a cada 2,5 m e esticador a cada 50 m (SICRO 3713608 JULHO/ 2021)</t>
  </si>
  <si>
    <t>07.03</t>
  </si>
  <si>
    <t>PASSEIOS</t>
  </si>
  <si>
    <t>07.03.001</t>
  </si>
  <si>
    <t>94995 / SINAPI</t>
  </si>
  <si>
    <r>
      <rPr>
        <sz val="10"/>
        <rFont val="Arial"/>
        <family val="2"/>
      </rPr>
      <t>Execução de passeio (calçada) ou piso de concreto com co ncreto moldado in loco, usinado, acabamento convencional
, espessura 8 cm, armado. af_07/2016</t>
    </r>
  </si>
  <si>
    <t>07.03.002</t>
  </si>
  <si>
    <t>1388 / CTENG</t>
  </si>
  <si>
    <t>Pó de pedra com frete</t>
  </si>
  <si>
    <t>07.03.003</t>
  </si>
  <si>
    <t>1379 / CTENG</t>
  </si>
  <si>
    <t>Junta serrada, e=0,5cm, com preenchimento de mastique de poliuretano MBT, Basf ou similar.</t>
  </si>
  <si>
    <t>07.03.004</t>
  </si>
  <si>
    <t>1355 / CTENG</t>
  </si>
  <si>
    <t>Junta de construção, e=1,5cm, com preenchimento de masti que de poliuretano MBT, Basf ou similar, para pavimentos em concreto</t>
  </si>
  <si>
    <t>07.04</t>
  </si>
  <si>
    <t>RAMPAS E TRAVESSIAS</t>
  </si>
  <si>
    <t>07.04.001</t>
  </si>
  <si>
    <t>0105 / ORSE</t>
  </si>
  <si>
    <t>Concreto simples usinado fck=35mpa, bombeado, lançado e adensado em superestrutura</t>
  </si>
  <si>
    <t>07.04.002</t>
  </si>
  <si>
    <t>3638 / ORSE</t>
  </si>
  <si>
    <t>Fornecimento e instalação de tela aço soldada nervurada CA-60, Q-196, malha 10x10cm, ferro 5.0mm (3,11 kg/m2), p ainel 2,45x6,0m, Telcon ou similar</t>
  </si>
  <si>
    <t>ADMINISTRAÇÃO DO EMPREENDIMENTO</t>
  </si>
  <si>
    <t>ADMINISTRAÇÃO LOCAL</t>
  </si>
  <si>
    <t>Equipe Dirigente</t>
  </si>
  <si>
    <t>Equipamentos de Apoio à Produção</t>
  </si>
  <si>
    <t>08.02</t>
  </si>
  <si>
    <t>MOBILIZAÇÃO E DESMOBILIZAÇÃO DE EQUIPAMENTOS</t>
  </si>
  <si>
    <t xml:space="preserve">08.02.001 </t>
  </si>
  <si>
    <t xml:space="preserve"> MOBILIZAÇÃO E DESMOBILIZAÇÃO DE EQUIPAMENTOS</t>
  </si>
  <si>
    <t/>
  </si>
  <si>
    <t>CONTRATADO</t>
  </si>
  <si>
    <t>ACUMULADO ANTERIOR</t>
  </si>
  <si>
    <t>DO PERÍODO</t>
  </si>
  <si>
    <t>ACUMULADO ATÉ PERÍODO</t>
  </si>
  <si>
    <t>SALDO À MEDIR</t>
  </si>
  <si>
    <t>QUANTIDADE</t>
  </si>
  <si>
    <t>PREÇO UNITÁRIO</t>
  </si>
  <si>
    <t>VALOR</t>
  </si>
  <si>
    <t>BOLETIM DE MEDIÇÃO</t>
  </si>
  <si>
    <t>CONTRATO:</t>
  </si>
  <si>
    <t>CT 054/23</t>
  </si>
  <si>
    <t>BM Nº:</t>
  </si>
  <si>
    <t>Período</t>
  </si>
  <si>
    <t>ADITIVO</t>
  </si>
  <si>
    <t>PERÍODO:</t>
  </si>
  <si>
    <t>09</t>
  </si>
  <si>
    <t>AQUISIÇÃO DE MATERIAIS BETUMINOSOS</t>
  </si>
  <si>
    <t>FORNECIMENTO DE MATERIAIS BETUMINOSOS</t>
  </si>
  <si>
    <t>Asfalto diluído de petróleo - adp -  cm-30 (densidade = 0,85 Kg/l) (ANP +  IMPOSTOS) (CE OUT/22)</t>
  </si>
  <si>
    <t>Emulsao asfaltica cationica rr-2c para uso em pavimentac ao asfaltica  (ANP +  IMPOSTOS) (MG OUT/22)</t>
  </si>
  <si>
    <t>Cimento asfaltico de petroleo a granel (cap) 50/70 (cole tado caixa na anp acrescido de icms)  (ANP +  IMPOSTOS) (BA OUT/22)</t>
  </si>
  <si>
    <t>t</t>
  </si>
  <si>
    <t>TRANSPORTE DE MATERIAIS BETUMINOSOS</t>
  </si>
  <si>
    <t>Asfalto diluido de petroleo CM-30 (CE OUT/22)</t>
  </si>
  <si>
    <t>Emulsão asfaltica cationica RR-2C (MG OUT/22)</t>
  </si>
  <si>
    <t>Cimento asfaltico de petroleo CAP 50/70 (BA OUT/22)</t>
  </si>
  <si>
    <t>09.01</t>
  </si>
  <si>
    <t>09.01.001</t>
  </si>
  <si>
    <t>09.01.002</t>
  </si>
  <si>
    <t>09.01.003</t>
  </si>
  <si>
    <t>09.02</t>
  </si>
  <si>
    <t xml:space="preserve">09.02.001 </t>
  </si>
  <si>
    <t>09.02.002</t>
  </si>
  <si>
    <t>09.02.003</t>
  </si>
  <si>
    <t>(%) ACUMULADO</t>
  </si>
  <si>
    <t>(%) DO PERÍODO</t>
  </si>
  <si>
    <t>(%) À MEDIR</t>
  </si>
  <si>
    <t>PERCENTUAL</t>
  </si>
  <si>
    <t>MEMORIA DE CÁLCULO</t>
  </si>
  <si>
    <t>TOTAL</t>
  </si>
  <si>
    <t>OBSERVAÇÃO</t>
  </si>
  <si>
    <t>MEDIDO PROPORCIONAL</t>
  </si>
  <si>
    <t>Conforme Relatório</t>
  </si>
  <si>
    <t>CONFORME ROMANEIOS</t>
  </si>
  <si>
    <t>dmt = 3,0 KM</t>
  </si>
  <si>
    <t>dmT = 7,2 KM</t>
  </si>
  <si>
    <t>=5111,49</t>
  </si>
  <si>
    <t>= 5.111,49 X 1,50 X 3,00</t>
  </si>
  <si>
    <t>= 5.111,49 X 1,50 X 7,20</t>
  </si>
  <si>
    <t>DA E 244 A E270</t>
  </si>
  <si>
    <t>CONFORME MAPA DE CUBAÇÃO, MATERIAL DESTINADO AO BOTA FORA</t>
  </si>
  <si>
    <t>DA E 244 A E325</t>
  </si>
  <si>
    <t>DA E 270 A E289</t>
  </si>
  <si>
    <t>DA E 289 A E325</t>
  </si>
  <si>
    <t>DA E 2 A E 65 (LADO DIREITO ; DA E 2 A E 54 (LADO ESQUERDO) ; DA E 102 A 118 (LADO ESQUERDO) ; DA E 112 A E 128 (LADO DIREITO)</t>
  </si>
  <si>
    <t>E 18 = 15 M ; E 27 +10 = 15 M</t>
  </si>
  <si>
    <t>E 130 = 22 M</t>
  </si>
  <si>
    <t>INTERSEÇÃO : PV 4 A CGG = 17 M ; PV 03 A CGG = 14 M</t>
  </si>
  <si>
    <t>INTERSEÇÃO : PV 01 A PV 02 = 20 M ; PV 02 A PV 03 = 20 M; PV 03 A PV 04 = 23 M; PV 06 A DEB 03 = 24 M</t>
  </si>
  <si>
    <r>
      <rPr>
        <sz val="7.5"/>
        <rFont val="Arial MT"/>
        <family val="2"/>
      </rPr>
      <t>PROJETO:</t>
    </r>
  </si>
  <si>
    <t>RODOVIA CARLOS PINA</t>
  </si>
  <si>
    <r>
      <rPr>
        <sz val="7.5"/>
        <rFont val="Arial MT"/>
        <family val="2"/>
      </rPr>
      <t>SERVIÇO:</t>
    </r>
  </si>
  <si>
    <r>
      <rPr>
        <b/>
        <i/>
        <sz val="7.5"/>
        <rFont val="Arial"/>
        <family val="2"/>
      </rPr>
      <t>SEÇOES TRANSVERSAIS</t>
    </r>
  </si>
  <si>
    <r>
      <rPr>
        <sz val="7.5"/>
        <rFont val="Arial MT"/>
        <family val="2"/>
      </rPr>
      <t>LOCAL:</t>
    </r>
    <r>
      <rPr>
        <sz val="7.5"/>
        <rFont val="Times New Roman"/>
        <family val="1"/>
      </rPr>
      <t xml:space="preserve">                      </t>
    </r>
    <r>
      <rPr>
        <b/>
        <i/>
        <sz val="7.5"/>
        <rFont val="Arial"/>
        <family val="2"/>
      </rPr>
      <t xml:space="preserve"> SÃO CRISTOVÃO-SE</t>
    </r>
  </si>
  <si>
    <r>
      <rPr>
        <sz val="7.5"/>
        <rFont val="Arial MT"/>
        <family val="2"/>
      </rPr>
      <t>DATA:</t>
    </r>
  </si>
  <si>
    <r>
      <rPr>
        <sz val="7.5"/>
        <rFont val="Arial MT"/>
        <family val="2"/>
      </rPr>
      <t>MATERIAL:</t>
    </r>
    <r>
      <rPr>
        <sz val="7.5"/>
        <rFont val="Times New Roman"/>
        <family val="1"/>
      </rPr>
      <t xml:space="preserve">                 </t>
    </r>
    <r>
      <rPr>
        <b/>
        <i/>
        <sz val="7.5"/>
        <rFont val="Arial"/>
        <family val="2"/>
      </rPr>
      <t>LOCAL</t>
    </r>
  </si>
  <si>
    <t>ESTACA</t>
  </si>
  <si>
    <r>
      <rPr>
        <sz val="7.5"/>
        <rFont val="Arial"/>
        <family val="2"/>
      </rPr>
      <t>ÁREAS m2</t>
    </r>
  </si>
  <si>
    <t>DISTÂNCIA</t>
  </si>
  <si>
    <t>VOL.m3</t>
  </si>
  <si>
    <r>
      <rPr>
        <sz val="7.5"/>
        <rFont val="Arial"/>
        <family val="2"/>
      </rPr>
      <t>VOLUME ACUMULADO m3</t>
    </r>
  </si>
  <si>
    <t>CORTE</t>
  </si>
  <si>
    <t>ATERRO</t>
  </si>
  <si>
    <t>197+00,00</t>
  </si>
  <si>
    <t>197+10,00</t>
  </si>
  <si>
    <t>198+00,00</t>
  </si>
  <si>
    <t>198+10,00</t>
  </si>
  <si>
    <t>199+00,00</t>
  </si>
  <si>
    <t>199+10,00</t>
  </si>
  <si>
    <t>200+00,00</t>
  </si>
  <si>
    <t>200+10,00</t>
  </si>
  <si>
    <t>201+00,00</t>
  </si>
  <si>
    <t>201+10,00</t>
  </si>
  <si>
    <t>202+00,00</t>
  </si>
  <si>
    <t>RESUMO DE MOVIMENTAÇÃO DE TERRA</t>
  </si>
  <si>
    <t>ESCAVAÇÃO ATÉ 50 M</t>
  </si>
  <si>
    <t>ESCAVAÇÃO ATÉ 200 M</t>
  </si>
  <si>
    <t>ESCAVAÇÃO ATÉ 400 M</t>
  </si>
  <si>
    <t>ESCAVAÇÃO ATÉ 600 M</t>
  </si>
  <si>
    <t>ESCAVAÇÃO ATÉ 800 M</t>
  </si>
  <si>
    <t>ESCAVAÇÃO ATÉ 1000 M</t>
  </si>
  <si>
    <t>ESCAVAÇÃO ATÉ 1200 M</t>
  </si>
  <si>
    <t>ESCAVAÇÃO ATÉ 2500 M</t>
  </si>
  <si>
    <t>QTD (M³)</t>
  </si>
  <si>
    <t>DMT</t>
  </si>
  <si>
    <t>OBS:.</t>
  </si>
  <si>
    <r>
      <rPr>
        <i/>
        <sz val="9.5"/>
        <color rgb="FF0070C0"/>
        <rFont val="Arial"/>
        <family val="2"/>
      </rPr>
      <t>VOLUME</t>
    </r>
    <r>
      <rPr>
        <sz val="9.5"/>
        <color rgb="FF0070C0"/>
        <rFont val="Times New Roman"/>
        <family val="1"/>
      </rPr>
      <t xml:space="preserve"> </t>
    </r>
    <r>
      <rPr>
        <i/>
        <sz val="9.5"/>
        <color rgb="FF0070C0"/>
        <rFont val="Arial"/>
        <family val="2"/>
      </rPr>
      <t>ATERRO</t>
    </r>
  </si>
  <si>
    <r>
      <rPr>
        <i/>
        <vertAlign val="superscript"/>
        <sz val="14"/>
        <color rgb="FF0070C0"/>
        <rFont val="Arial"/>
        <family val="2"/>
      </rPr>
      <t>VOLUME</t>
    </r>
    <r>
      <rPr>
        <vertAlign val="superscript"/>
        <sz val="14"/>
        <color rgb="FF0070C0"/>
        <rFont val="Times New Roman"/>
        <family val="1"/>
      </rPr>
      <t xml:space="preserve"> </t>
    </r>
    <r>
      <rPr>
        <i/>
        <vertAlign val="superscript"/>
        <sz val="14"/>
        <color rgb="FF0070C0"/>
        <rFont val="Arial"/>
        <family val="2"/>
      </rPr>
      <t>CORTE</t>
    </r>
    <r>
      <rPr>
        <vertAlign val="superscript"/>
        <sz val="14"/>
        <color rgb="FF0070C0"/>
        <rFont val="Times New Roman"/>
        <family val="1"/>
      </rPr>
      <t xml:space="preserve">                   </t>
    </r>
  </si>
  <si>
    <t>COMPACTAÇÃO</t>
  </si>
  <si>
    <t>MEMÓRIA DE CÁLCULO  DRENAGEM</t>
  </si>
  <si>
    <t>CANAL DE CONCRETO ARMADO (1,20 X 0,70)</t>
  </si>
  <si>
    <t>M</t>
  </si>
  <si>
    <t>CÁLCULO VOL. DE CONCRETO COM ALTURA DE 0,70 P/ 1,5 m DE CANAL</t>
  </si>
  <si>
    <t>TAMPA</t>
  </si>
  <si>
    <t>1,50*1,50*0,16 =</t>
  </si>
  <si>
    <t>FUNDO</t>
  </si>
  <si>
    <t>1,50*1,50*0,15 =</t>
  </si>
  <si>
    <t>PAREDE</t>
  </si>
  <si>
    <t>2*0,70*0,15*1,5 =</t>
  </si>
  <si>
    <t>TOTAL:</t>
  </si>
  <si>
    <t>E 177</t>
  </si>
  <si>
    <t>M2</t>
  </si>
  <si>
    <t>(1,8*1,8) +( 1,80 * 0,15 *2) =</t>
  </si>
  <si>
    <t>1,80*0,16 *2 =</t>
  </si>
  <si>
    <t xml:space="preserve"> (1,65 *0,85*2)+(1,50 * 0,70 *2) +(1,65*0,15*4)</t>
  </si>
  <si>
    <t>CÁLCULO DE FORMA COM ALTURA DE 0,70 P/ 1,5 m DE CANAL</t>
  </si>
  <si>
    <t xml:space="preserve">TAXA DE AÇO CA 50 POR M3 DE CONCRETO </t>
  </si>
  <si>
    <t xml:space="preserve">TAXA DE AÇO CA 60 POR M3 DE CONCRETO </t>
  </si>
  <si>
    <t>KG/M3</t>
  </si>
  <si>
    <t xml:space="preserve">MEMÓRIA DE CÁLCULO  </t>
  </si>
  <si>
    <t>T*Km</t>
  </si>
  <si>
    <t>Leito Natural:</t>
  </si>
  <si>
    <t>Base em brita corrida</t>
  </si>
  <si>
    <t>Brita corrida - Base total:</t>
  </si>
  <si>
    <t>18 cm</t>
  </si>
  <si>
    <t>Em "Caixão"</t>
  </si>
  <si>
    <t>Volume Compactado:</t>
  </si>
  <si>
    <t>Vide planilha anexa</t>
  </si>
  <si>
    <t>Volume Solto:</t>
  </si>
  <si>
    <t>Itens:</t>
  </si>
  <si>
    <t>Rod. Pav.:</t>
  </si>
  <si>
    <t>RESUMO BASE EM BRITA CORRIDA</t>
  </si>
  <si>
    <t>Aquisição</t>
  </si>
  <si>
    <t>Transporte</t>
  </si>
  <si>
    <t>Execução</t>
  </si>
  <si>
    <t>IMPRIMAÇÃO E REVESTIMENTO ASFALTICO</t>
  </si>
  <si>
    <t>217+00,00</t>
  </si>
  <si>
    <t>217+10,00</t>
  </si>
  <si>
    <t>218+00,00</t>
  </si>
  <si>
    <t>218+10,00</t>
  </si>
  <si>
    <t>219+00,00</t>
  </si>
  <si>
    <t>219+10,00</t>
  </si>
  <si>
    <t>220+00,00</t>
  </si>
  <si>
    <t>220+10,00</t>
  </si>
  <si>
    <t>221+00,00</t>
  </si>
  <si>
    <t>221+10,00</t>
  </si>
  <si>
    <t>222+00,00</t>
  </si>
  <si>
    <t>222+10,00</t>
  </si>
  <si>
    <t>223+00,00</t>
  </si>
  <si>
    <t>223+10,00</t>
  </si>
  <si>
    <t>224+00,00</t>
  </si>
  <si>
    <t>224+10,00</t>
  </si>
  <si>
    <t>225+00,00</t>
  </si>
  <si>
    <t>225+10,00</t>
  </si>
  <si>
    <t>226+00,00</t>
  </si>
  <si>
    <t>226+10,00</t>
  </si>
  <si>
    <t>227+00,00</t>
  </si>
  <si>
    <t>227+10,00</t>
  </si>
  <si>
    <t>228+00,00</t>
  </si>
  <si>
    <t>228+10,00</t>
  </si>
  <si>
    <t>229+00,00</t>
  </si>
  <si>
    <t>229+10,00</t>
  </si>
  <si>
    <t>230+00,00</t>
  </si>
  <si>
    <t>230+10,00</t>
  </si>
  <si>
    <t>231+00,00</t>
  </si>
  <si>
    <t>231+10,00</t>
  </si>
  <si>
    <t>232+00,00</t>
  </si>
  <si>
    <t>232+10,00</t>
  </si>
  <si>
    <t>233+00,00</t>
  </si>
  <si>
    <t>233+10,00</t>
  </si>
  <si>
    <t>234+00,00</t>
  </si>
  <si>
    <t>234+10,00</t>
  </si>
  <si>
    <t>235+00,00</t>
  </si>
  <si>
    <t>235+10,00</t>
  </si>
  <si>
    <t>236+00,00</t>
  </si>
  <si>
    <t>236+10,00</t>
  </si>
  <si>
    <t>237+00,00</t>
  </si>
  <si>
    <t>237+10,00</t>
  </si>
  <si>
    <t>238+00,00</t>
  </si>
  <si>
    <t>238+10,00</t>
  </si>
  <si>
    <t>239+00,00</t>
  </si>
  <si>
    <t>239+10,00</t>
  </si>
  <si>
    <t>240+00,00</t>
  </si>
  <si>
    <t>240+10,00</t>
  </si>
  <si>
    <t>241+00,00</t>
  </si>
  <si>
    <t>241+10,00</t>
  </si>
  <si>
    <t>242+00,00</t>
  </si>
  <si>
    <t>242+10,00</t>
  </si>
  <si>
    <t>243+00,00</t>
  </si>
  <si>
    <t>243+10,00</t>
  </si>
  <si>
    <t>244+00,00</t>
  </si>
  <si>
    <t>244+10,00</t>
  </si>
  <si>
    <t>245+00,00</t>
  </si>
  <si>
    <t>245+10,00</t>
  </si>
  <si>
    <t>246+00,00</t>
  </si>
  <si>
    <t>246+10,00</t>
  </si>
  <si>
    <t>247+00,00</t>
  </si>
  <si>
    <t>247+10,00</t>
  </si>
  <si>
    <t>248+00,00</t>
  </si>
  <si>
    <t>248+10,00</t>
  </si>
  <si>
    <t>249+00,00</t>
  </si>
  <si>
    <t>249+10,00</t>
  </si>
  <si>
    <t>250+00,00</t>
  </si>
  <si>
    <t>Fornecedor</t>
  </si>
  <si>
    <t xml:space="preserve">Placa </t>
  </si>
  <si>
    <t>NF Nº</t>
  </si>
  <si>
    <t>Cubagem</t>
  </si>
  <si>
    <t>Data</t>
  </si>
  <si>
    <t>Peso liquido / M³</t>
  </si>
  <si>
    <t>PEDREIRA SÃO JORGE</t>
  </si>
  <si>
    <t>RBQ4A20</t>
  </si>
  <si>
    <t>QVJ 7G22</t>
  </si>
  <si>
    <t>KBA5971</t>
  </si>
  <si>
    <t>IAA0H58</t>
  </si>
  <si>
    <t>OER 3347</t>
  </si>
  <si>
    <t>NVL 5288</t>
  </si>
  <si>
    <t>CLV2I90</t>
  </si>
  <si>
    <t>NVJ1B20</t>
  </si>
  <si>
    <t>NNA8B24</t>
  </si>
  <si>
    <t>JRE6C20</t>
  </si>
  <si>
    <t>JRK92664</t>
  </si>
  <si>
    <t>ORJ8G84</t>
  </si>
  <si>
    <t>HKE5428</t>
  </si>
  <si>
    <t>NTC5J07</t>
  </si>
  <si>
    <t>QKS 2880</t>
  </si>
  <si>
    <t>CVV 2I90</t>
  </si>
  <si>
    <t>JKH6705</t>
  </si>
  <si>
    <t>HZZ3848</t>
  </si>
  <si>
    <t>NVK 6233</t>
  </si>
  <si>
    <t>NTG5J07</t>
  </si>
  <si>
    <t>FAC5717</t>
  </si>
  <si>
    <t>PFJ 8F37</t>
  </si>
  <si>
    <t>NTG 5J07</t>
  </si>
  <si>
    <t>JAC5717</t>
  </si>
  <si>
    <t>IAC5717</t>
  </si>
  <si>
    <t>NWA8B24</t>
  </si>
  <si>
    <t>KQV9D23</t>
  </si>
  <si>
    <t>PEDREIRA SOLAR</t>
  </si>
  <si>
    <t>ORF-2F89-</t>
  </si>
  <si>
    <t xml:space="preserve">GFG-3139 - </t>
  </si>
  <si>
    <t>ARX-6H31 -</t>
  </si>
  <si>
    <t>QKN 7777-MAGNO</t>
  </si>
  <si>
    <t>QRW3H57-GILSON</t>
  </si>
  <si>
    <t>RBS 1H13 -MARCELO</t>
  </si>
  <si>
    <t>FFN 6D59 -</t>
  </si>
  <si>
    <t xml:space="preserve">RQZ 7F86 - </t>
  </si>
  <si>
    <t>QMN 9G73-MAGNO</t>
  </si>
  <si>
    <t>LUJ5199-WELLIGNTON</t>
  </si>
  <si>
    <t>RQX 2D26 -</t>
  </si>
  <si>
    <t>QMP 7A27-RENILSON</t>
  </si>
  <si>
    <t>117748/180520</t>
  </si>
  <si>
    <t>117840/180623</t>
  </si>
  <si>
    <t>117860/180648</t>
  </si>
  <si>
    <t>117942/180738</t>
  </si>
  <si>
    <t>RQZ 7I87- ALERCIO</t>
  </si>
  <si>
    <t>117747/180519</t>
  </si>
  <si>
    <t>118003/180807</t>
  </si>
  <si>
    <t>118048/180855</t>
  </si>
  <si>
    <t>RQZ 2F86 -</t>
  </si>
  <si>
    <t>118331/181180</t>
  </si>
  <si>
    <t>118332/181181</t>
  </si>
  <si>
    <t>118301/181145</t>
  </si>
  <si>
    <t>118270/181112</t>
  </si>
  <si>
    <t>QFG 3139</t>
  </si>
  <si>
    <t>118266/181108</t>
  </si>
  <si>
    <t>118361/181214</t>
  </si>
  <si>
    <t>118992/181561</t>
  </si>
  <si>
    <t>RQW3J59</t>
  </si>
  <si>
    <t>118660/181559</t>
  </si>
  <si>
    <t>RQZ7187-ALERCIO</t>
  </si>
  <si>
    <t>118659/181558</t>
  </si>
  <si>
    <t>118666/181565</t>
  </si>
  <si>
    <t>118665/181564</t>
  </si>
  <si>
    <t>118661/181560</t>
  </si>
  <si>
    <t>118642/181537</t>
  </si>
  <si>
    <t>118641/181536</t>
  </si>
  <si>
    <t>118667/181567</t>
  </si>
  <si>
    <t>118668/181568</t>
  </si>
  <si>
    <t>TOTAL EM M3:</t>
  </si>
  <si>
    <t>TRANSPORTE</t>
  </si>
  <si>
    <t>BM Nº: 9</t>
  </si>
  <si>
    <t xml:space="preserve">Memória de cálculo - Medição 09 </t>
  </si>
  <si>
    <t>Estaca 108 a Estaca 210</t>
  </si>
  <si>
    <t>2.040,00 x 9 x 0,18</t>
  </si>
  <si>
    <t>solo da mistura da Base</t>
  </si>
  <si>
    <t>2.040,00 x 9 x 0,11</t>
  </si>
  <si>
    <t>Transporte material :</t>
  </si>
  <si>
    <t>2625,48*1,5*5,55 =</t>
  </si>
  <si>
    <t>2625,48*1,5*(3,15) =</t>
  </si>
  <si>
    <t>Imprimação: sem ligante e sem transporte: 8,60 * 2040 = 17.544,00  m2</t>
  </si>
  <si>
    <t>CAUQ: Sem CAP. e sem Carga e transporte: 2040*8,00*0,025 = 408,0 m³</t>
  </si>
  <si>
    <t>Carga de CAUQ: 408*1,25 = 510 m3</t>
  </si>
  <si>
    <t>Transporte de CAUQ: 510*2,4*17,21 = 21.065,04T*Km</t>
  </si>
  <si>
    <t>Aquisição de asfalto diluidido CM-30:  17544*(1,2/1000) = 21,05 Ton.</t>
  </si>
  <si>
    <t>Aquisição de CAP. (5,3%) 408,00 m3 * 2,4 * 0,053 =  51,89 t</t>
  </si>
  <si>
    <t>Tranporte CM-30: 21,98 Ton. = 21,05Ton.</t>
  </si>
  <si>
    <t>Transporte CAP 51,89 Ton.</t>
  </si>
  <si>
    <t>03 DE dezembro 2024</t>
  </si>
  <si>
    <t>MEMORIA DE CÁLCULO TERRAPLENAGEM</t>
  </si>
  <si>
    <t>01/01/25 à 07/02/25</t>
  </si>
  <si>
    <r>
      <rPr>
        <b/>
        <sz val="10"/>
        <rFont val="Arial"/>
        <family val="2"/>
      </rPr>
      <t>OBRA:</t>
    </r>
    <r>
      <rPr>
        <sz val="10"/>
        <rFont val="Arial"/>
        <family val="2"/>
      </rPr>
      <t xml:space="preserve"> Execução das obras e serviços de construção da “Rodovia dos Trabalhadores”, que integrará a Rodovia SE-065 à Rodovia BR-101</t>
    </r>
  </si>
  <si>
    <t>01/01 A 07/02/25</t>
  </si>
  <si>
    <r>
      <rPr>
        <b/>
        <sz val="10"/>
        <rFont val="Arial"/>
        <family val="2"/>
      </rPr>
      <t>Contratada:</t>
    </r>
    <r>
      <rPr>
        <sz val="10"/>
        <rFont val="Arial"/>
        <family val="2"/>
      </rPr>
      <t xml:space="preserve"> NOVATEC Construções e Empeendimentos Ltda.</t>
    </r>
  </si>
  <si>
    <t>BM Nº: 05</t>
  </si>
  <si>
    <t>2º Termo do aditivo do contrato 54/2023</t>
  </si>
  <si>
    <r>
      <rPr>
        <b/>
        <sz val="10"/>
        <rFont val="Arial"/>
        <family val="2"/>
      </rPr>
      <t>Contratante:</t>
    </r>
    <r>
      <rPr>
        <sz val="10"/>
        <rFont val="Arial"/>
        <family val="2"/>
      </rPr>
      <t xml:space="preserve"> Prefeitura Municipal de São Cristóvão</t>
    </r>
  </si>
  <si>
    <r>
      <rPr>
        <b/>
        <sz val="10"/>
        <rFont val="Arial"/>
        <family val="2"/>
      </rPr>
      <t xml:space="preserve">Contrato n°: </t>
    </r>
    <r>
      <rPr>
        <sz val="10"/>
        <rFont val="Arial"/>
        <family val="2"/>
      </rPr>
      <t>054/2023</t>
    </r>
  </si>
  <si>
    <t>QUANTITATIVO</t>
  </si>
  <si>
    <t>VALOR (R$)</t>
  </si>
  <si>
    <t>PERCENTUAL MEDIDO</t>
  </si>
  <si>
    <t>03.01.001.010</t>
  </si>
  <si>
    <t>03.01.001.011</t>
  </si>
  <si>
    <t>5501700/SICRO</t>
  </si>
  <si>
    <t>Desmatamento, destocamento, limpeza de área e estocagem do material de limpeza com árvores de diâmetro até 0,15 m</t>
  </si>
  <si>
    <t>03.01.001.012</t>
  </si>
  <si>
    <t>02492/ORSE</t>
  </si>
  <si>
    <t>Destocamento de árvores de diâmetro de 0,15 a 0,30m</t>
  </si>
  <si>
    <t>und</t>
  </si>
  <si>
    <t>03.01.001.013</t>
  </si>
  <si>
    <t>5502904/SICRO</t>
  </si>
  <si>
    <t>Escavação, carga e transporte de solos moles - DMT de 1.000 a 1.200 m - caminho de serviço em leito natural - com caminhão basculante de 14 m³</t>
  </si>
  <si>
    <t>03.01.001.014</t>
  </si>
  <si>
    <t>5502114/SICRO</t>
  </si>
  <si>
    <t xml:space="preserve">Escavação, carga e transporte de material de 1ª categoria - DMT de 1.000 a 1.200 m - caminho de serviço em leito natural -
com escavadeira e caminhão basculante de 14 m³ </t>
  </si>
  <si>
    <t>03.01.001.015</t>
  </si>
  <si>
    <t xml:space="preserve">5502119/SICRO </t>
  </si>
  <si>
    <t xml:space="preserve">Escavação, carga e transporte de material de 1ª categoria - DMT de 2.000 a 2.500 m - caminho de serviço em leito natural -
com escavadeira e caminhão basculante de 14 m³ </t>
  </si>
  <si>
    <t>03.01.001.016</t>
  </si>
  <si>
    <t>00366/SINAPI</t>
  </si>
  <si>
    <t>Aquisição areia fina - posto jazida/fornecedor (retirado na jazida, sem transporte)</t>
  </si>
  <si>
    <t>03.01.001.017</t>
  </si>
  <si>
    <t>5915321/SICRO</t>
  </si>
  <si>
    <t>Transporte com caminhão basculante de 14 m³ - rodovia pavimentada</t>
  </si>
  <si>
    <t>03.01.001.018</t>
  </si>
  <si>
    <t>5915319/SICRO</t>
  </si>
  <si>
    <t>Transporte com caminhão basculante de 14 m³ - rodovia em leito natural</t>
  </si>
  <si>
    <t>03.01.001.019</t>
  </si>
  <si>
    <t>02531/ORSE</t>
  </si>
  <si>
    <t>Aterro de áreas sem aquisição de material, com espalhamento mecânico, sem compactação e sem transporte</t>
  </si>
  <si>
    <t>11722/ORSE</t>
  </si>
  <si>
    <t>ITEM EXISTENTE</t>
  </si>
  <si>
    <t>07.02.005</t>
  </si>
  <si>
    <t>3713611/SICRO</t>
  </si>
  <si>
    <t>Cerca com 4 fios de arame farpado e mourão de concreto de seção triangular de 11 cm a cada 2,5 m e esticador de 15 cm a
cada 50 m - areia extraída e brita produzida</t>
  </si>
  <si>
    <t>07.02.006</t>
  </si>
  <si>
    <t>1600966/SICRO</t>
  </si>
  <si>
    <t>Remoção de cerca com mourões de concreto</t>
  </si>
  <si>
    <t>07.02.007</t>
  </si>
  <si>
    <t>00237/PMSC</t>
  </si>
  <si>
    <t>Marco Inaugural 2,80 x 1,20 m - padrão PMSC</t>
  </si>
  <si>
    <t>07.04.003</t>
  </si>
  <si>
    <t>PESQUISA DE MERCADO</t>
  </si>
  <si>
    <t>Locação de laboratório de solos e asfaltos com um laboratorista e equipamentos</t>
  </si>
  <si>
    <t>07.04.004</t>
  </si>
  <si>
    <t>Revisão completa do projeto executivo incluindo alteração parcial da diretriz inicial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</si>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</sst>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#.##000"/>
    <numFmt numFmtId="165" formatCode="_(* #,##0.00_);_(* \(#,##0.00\);_(* &quot;-&quot;??_);_(@_)"/>
    <numFmt numFmtId="166" formatCode="#,##0.00;\-#,##0.00;"/>
    <numFmt numFmtId="167" formatCode="#,##0.000;\-#,##0.000;"/>
    <numFmt numFmtId="168" formatCode="_-* #,##0.0000_-;\-* #,##0.0000_-;_-* &quot;-&quot;??_-;_-@_-"/>
    <numFmt numFmtId="172" formatCode="_-* #,##0.00_-;\-* #,##0.00_-;_-* \-??_-;_-@_-"/>
    <numFmt numFmtId="174" formatCode="0.00;[Red]0.00"/>
    <numFmt numFmtId="177" formatCode="##.##000##"/>
  </numFmts>
  <fonts count="6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Times New Roman"/>
      <family val="1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b/>
      <sz val="12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1"/>
    </font>
    <font>
      <i/>
      <sz val="9.5"/>
      <color rgb="FF0000FF"/>
      <name val="Arial"/>
      <family val="2"/>
    </font>
    <font>
      <sz val="7.5"/>
      <name val="Arial MT"/>
    </font>
    <font>
      <sz val="7.5"/>
      <name val="Arial MT"/>
      <family val="2"/>
    </font>
    <font>
      <b/>
      <i/>
      <sz val="7.5"/>
      <name val="Arial"/>
      <family val="2"/>
    </font>
    <font>
      <sz val="7.5"/>
      <name val="Times New Roman"/>
      <family val="2"/>
      <charset val="204"/>
    </font>
    <font>
      <sz val="7.5"/>
      <name val="Times New Roman"/>
      <family val="1"/>
    </font>
    <font>
      <sz val="7.5"/>
      <name val="Arial"/>
      <family val="2"/>
    </font>
    <font>
      <i/>
      <sz val="8.5"/>
      <color rgb="FFFF0000"/>
      <name val="Arial"/>
      <family val="2"/>
    </font>
    <font>
      <i/>
      <sz val="8.5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70C0"/>
      <name val="Times New Roman"/>
      <family val="1"/>
    </font>
    <font>
      <i/>
      <sz val="9.5"/>
      <color rgb="FF0070C0"/>
      <name val="Arial"/>
      <family val="2"/>
    </font>
    <font>
      <sz val="9.5"/>
      <color rgb="FF0070C0"/>
      <name val="Times New Roman"/>
      <family val="1"/>
    </font>
    <font>
      <i/>
      <vertAlign val="superscript"/>
      <sz val="14"/>
      <color rgb="FF0070C0"/>
      <name val="Arial"/>
      <family val="2"/>
    </font>
    <font>
      <vertAlign val="superscript"/>
      <sz val="14"/>
      <color rgb="FF0070C0"/>
      <name val="Times New Roman"/>
      <family val="1"/>
    </font>
    <font>
      <sz val="9.5"/>
      <color rgb="FF0070C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name val="Arial"/>
      <family val="2"/>
    </font>
    <font>
      <b/>
      <sz val="16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Segoe UI"/>
    </font>
    <font>
      <sz val="9"/>
      <color indexed="81"/>
      <name val="Segoe U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7" fillId="0" borderId="0"/>
    <xf numFmtId="0" fontId="17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27" fillId="0" borderId="0"/>
    <xf numFmtId="43" fontId="27" fillId="0" borderId="0" applyFont="0" applyFill="0" applyBorder="0" applyAlignment="0" applyProtection="0"/>
    <xf numFmtId="0" fontId="28" fillId="0" borderId="0"/>
    <xf numFmtId="0" fontId="26" fillId="0" borderId="0"/>
    <xf numFmtId="44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34" fillId="0" borderId="0"/>
    <xf numFmtId="172" fontId="23" fillId="0" borderId="0" applyBorder="0" applyProtection="0"/>
    <xf numFmtId="0" fontId="34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4" fillId="0" borderId="0"/>
    <xf numFmtId="43" fontId="14" fillId="0" borderId="0" applyFill="0" applyBorder="0" applyAlignment="0" applyProtection="0"/>
    <xf numFmtId="44" fontId="14" fillId="0" borderId="0" applyFill="0" applyBorder="0" applyAlignment="0" applyProtection="0"/>
    <xf numFmtId="0" fontId="59" fillId="0" borderId="0"/>
    <xf numFmtId="44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3" fillId="0" borderId="0"/>
  </cellStyleXfs>
  <cellXfs count="438">
    <xf numFmtId="0" fontId="0" fillId="0" borderId="0" xfId="0" applyAlignment="1">
      <alignment horizontal="left" vertical="top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4" fontId="8" fillId="2" borderId="0" xfId="0" applyNumberFormat="1" applyFont="1" applyFill="1" applyAlignment="1">
      <alignment vertical="top"/>
    </xf>
    <xf numFmtId="4" fontId="12" fillId="2" borderId="0" xfId="0" applyNumberFormat="1" applyFont="1" applyFill="1" applyAlignment="1">
      <alignment vertical="top"/>
    </xf>
    <xf numFmtId="0" fontId="10" fillId="0" borderId="0" xfId="0" applyFont="1"/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4" fontId="20" fillId="0" borderId="0" xfId="0" applyNumberFormat="1" applyFont="1" applyAlignment="1">
      <alignment horizontal="right" vertical="top" readingOrder="1"/>
    </xf>
    <xf numFmtId="0" fontId="9" fillId="0" borderId="0" xfId="0" applyFont="1" applyAlignment="1">
      <alignment horizontal="left" vertical="center" readingOrder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right" vertical="top" wrapText="1"/>
    </xf>
    <xf numFmtId="0" fontId="0" fillId="0" borderId="7" xfId="0" applyBorder="1"/>
    <xf numFmtId="0" fontId="0" fillId="0" borderId="6" xfId="0" applyBorder="1"/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66" fontId="15" fillId="0" borderId="0" xfId="0" applyNumberFormat="1" applyFont="1" applyAlignment="1">
      <alignment horizontal="right" vertical="top" wrapText="1"/>
    </xf>
    <xf numFmtId="0" fontId="15" fillId="0" borderId="6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center" readingOrder="1"/>
    </xf>
    <xf numFmtId="14" fontId="20" fillId="0" borderId="7" xfId="0" applyNumberFormat="1" applyFont="1" applyBorder="1" applyAlignment="1">
      <alignment horizontal="right" vertical="top" readingOrder="1"/>
    </xf>
    <xf numFmtId="0" fontId="20" fillId="0" borderId="8" xfId="0" applyFont="1" applyBorder="1" applyAlignment="1">
      <alignment horizontal="left" vertical="center" readingOrder="1"/>
    </xf>
    <xf numFmtId="0" fontId="20" fillId="0" borderId="9" xfId="0" applyFont="1" applyBorder="1" applyAlignment="1">
      <alignment horizontal="left" vertical="center" readingOrder="1"/>
    </xf>
    <xf numFmtId="0" fontId="0" fillId="0" borderId="9" xfId="0" applyBorder="1"/>
    <xf numFmtId="0" fontId="0" fillId="0" borderId="10" xfId="0" applyBorder="1"/>
    <xf numFmtId="0" fontId="15" fillId="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 vertical="top"/>
    </xf>
    <xf numFmtId="0" fontId="0" fillId="4" borderId="0" xfId="0" applyFill="1" applyAlignment="1">
      <alignment horizontal="left" vertical="top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right" vertical="top" shrinkToFi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right" vertical="top" wrapText="1"/>
    </xf>
    <xf numFmtId="4" fontId="12" fillId="2" borderId="1" xfId="0" applyNumberFormat="1" applyFont="1" applyFill="1" applyBorder="1" applyAlignment="1">
      <alignment horizontal="right" vertical="top" shrinkToFit="1"/>
    </xf>
    <xf numFmtId="0" fontId="14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left" vertical="top" wrapText="1"/>
    </xf>
    <xf numFmtId="166" fontId="22" fillId="0" borderId="1" xfId="0" applyNumberFormat="1" applyFont="1" applyBorder="1" applyAlignment="1">
      <alignment horizontal="right" vertical="top" readingOrder="1"/>
    </xf>
    <xf numFmtId="167" fontId="22" fillId="0" borderId="1" xfId="0" applyNumberFormat="1" applyFont="1" applyBorder="1" applyAlignment="1">
      <alignment horizontal="right" vertical="top" readingOrder="1"/>
    </xf>
    <xf numFmtId="4" fontId="15" fillId="3" borderId="16" xfId="0" applyNumberFormat="1" applyFont="1" applyFill="1" applyBorder="1" applyAlignment="1">
      <alignment horizontal="center" vertical="center"/>
    </xf>
    <xf numFmtId="164" fontId="15" fillId="3" borderId="15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right" vertical="top" wrapText="1"/>
    </xf>
    <xf numFmtId="166" fontId="21" fillId="5" borderId="1" xfId="0" applyNumberFormat="1" applyFont="1" applyFill="1" applyBorder="1" applyAlignment="1">
      <alignment horizontal="right" vertical="top" readingOrder="1"/>
    </xf>
    <xf numFmtId="4" fontId="12" fillId="5" borderId="1" xfId="0" applyNumberFormat="1" applyFont="1" applyFill="1" applyBorder="1" applyAlignment="1">
      <alignment horizontal="right" vertical="top" wrapText="1"/>
    </xf>
    <xf numFmtId="4" fontId="16" fillId="5" borderId="1" xfId="0" applyNumberFormat="1" applyFont="1" applyFill="1" applyBorder="1" applyAlignment="1">
      <alignment horizontal="right" vertical="top" shrinkToFit="1"/>
    </xf>
    <xf numFmtId="2" fontId="12" fillId="5" borderId="1" xfId="0" applyNumberFormat="1" applyFont="1" applyFill="1" applyBorder="1" applyAlignment="1">
      <alignment horizontal="right" vertical="top" shrinkToFit="1"/>
    </xf>
    <xf numFmtId="0" fontId="15" fillId="6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right" vertical="top" wrapText="1"/>
    </xf>
    <xf numFmtId="166" fontId="21" fillId="6" borderId="1" xfId="0" applyNumberFormat="1" applyFont="1" applyFill="1" applyBorder="1" applyAlignment="1">
      <alignment horizontal="right" vertical="top" readingOrder="1"/>
    </xf>
    <xf numFmtId="4" fontId="12" fillId="6" borderId="1" xfId="0" applyNumberFormat="1" applyFont="1" applyFill="1" applyBorder="1" applyAlignment="1">
      <alignment horizontal="right" vertical="top" wrapText="1"/>
    </xf>
    <xf numFmtId="4" fontId="16" fillId="6" borderId="1" xfId="0" applyNumberFormat="1" applyFont="1" applyFill="1" applyBorder="1" applyAlignment="1">
      <alignment horizontal="right" vertical="top" shrinkToFit="1"/>
    </xf>
    <xf numFmtId="2" fontId="12" fillId="6" borderId="1" xfId="0" applyNumberFormat="1" applyFont="1" applyFill="1" applyBorder="1" applyAlignment="1">
      <alignment horizontal="right" vertical="top" shrinkToFit="1"/>
    </xf>
    <xf numFmtId="167" fontId="22" fillId="6" borderId="1" xfId="0" applyNumberFormat="1" applyFont="1" applyFill="1" applyBorder="1" applyAlignment="1">
      <alignment horizontal="right" vertical="top" readingOrder="1"/>
    </xf>
    <xf numFmtId="166" fontId="22" fillId="6" borderId="1" xfId="0" applyNumberFormat="1" applyFont="1" applyFill="1" applyBorder="1" applyAlignment="1">
      <alignment horizontal="right" vertical="top" readingOrder="1"/>
    </xf>
    <xf numFmtId="0" fontId="12" fillId="6" borderId="1" xfId="0" applyFont="1" applyFill="1" applyBorder="1" applyAlignment="1">
      <alignment horizontal="left" vertical="top" wrapText="1"/>
    </xf>
    <xf numFmtId="4" fontId="12" fillId="6" borderId="1" xfId="0" applyNumberFormat="1" applyFont="1" applyFill="1" applyBorder="1" applyAlignment="1">
      <alignment horizontal="left" vertical="top" wrapText="1"/>
    </xf>
    <xf numFmtId="167" fontId="22" fillId="5" borderId="1" xfId="0" applyNumberFormat="1" applyFont="1" applyFill="1" applyBorder="1" applyAlignment="1">
      <alignment horizontal="right" vertical="top" readingOrder="1"/>
    </xf>
    <xf numFmtId="166" fontId="22" fillId="5" borderId="1" xfId="0" applyNumberFormat="1" applyFont="1" applyFill="1" applyBorder="1" applyAlignment="1">
      <alignment horizontal="right" vertical="top" readingOrder="1"/>
    </xf>
    <xf numFmtId="0" fontId="12" fillId="5" borderId="1" xfId="0" applyFont="1" applyFill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right" vertical="top" wrapText="1"/>
    </xf>
    <xf numFmtId="167" fontId="22" fillId="7" borderId="1" xfId="0" applyNumberFormat="1" applyFont="1" applyFill="1" applyBorder="1" applyAlignment="1">
      <alignment horizontal="right" vertical="top" readingOrder="1"/>
    </xf>
    <xf numFmtId="166" fontId="22" fillId="7" borderId="1" xfId="0" applyNumberFormat="1" applyFont="1" applyFill="1" applyBorder="1" applyAlignment="1">
      <alignment horizontal="right" vertical="top" readingOrder="1"/>
    </xf>
    <xf numFmtId="4" fontId="12" fillId="7" borderId="1" xfId="0" applyNumberFormat="1" applyFont="1" applyFill="1" applyBorder="1" applyAlignment="1">
      <alignment horizontal="right" vertical="top" wrapText="1"/>
    </xf>
    <xf numFmtId="4" fontId="16" fillId="7" borderId="1" xfId="0" applyNumberFormat="1" applyFont="1" applyFill="1" applyBorder="1" applyAlignment="1">
      <alignment horizontal="right" vertical="top" shrinkToFit="1"/>
    </xf>
    <xf numFmtId="2" fontId="12" fillId="7" borderId="1" xfId="0" applyNumberFormat="1" applyFont="1" applyFill="1" applyBorder="1" applyAlignment="1">
      <alignment horizontal="right" vertical="top" shrinkToFit="1"/>
    </xf>
    <xf numFmtId="166" fontId="22" fillId="0" borderId="1" xfId="0" applyNumberFormat="1" applyFont="1" applyBorder="1" applyAlignment="1">
      <alignment horizontal="left" vertical="top" indent="2" readingOrder="1"/>
    </xf>
    <xf numFmtId="166" fontId="22" fillId="5" borderId="1" xfId="0" applyNumberFormat="1" applyFont="1" applyFill="1" applyBorder="1" applyAlignment="1">
      <alignment horizontal="left" vertical="top" indent="2" readingOrder="1"/>
    </xf>
    <xf numFmtId="166" fontId="22" fillId="6" borderId="1" xfId="0" applyNumberFormat="1" applyFont="1" applyFill="1" applyBorder="1" applyAlignment="1">
      <alignment horizontal="left" vertical="top" indent="2" readingOrder="1"/>
    </xf>
    <xf numFmtId="166" fontId="22" fillId="7" borderId="1" xfId="0" applyNumberFormat="1" applyFont="1" applyFill="1" applyBorder="1" applyAlignment="1">
      <alignment horizontal="left" vertical="top" indent="2" readingOrder="1"/>
    </xf>
    <xf numFmtId="43" fontId="12" fillId="2" borderId="1" xfId="6" applyFont="1" applyFill="1" applyBorder="1" applyAlignment="1">
      <alignment horizontal="right" vertical="top" shrinkToFit="1"/>
    </xf>
    <xf numFmtId="43" fontId="16" fillId="6" borderId="1" xfId="6" applyFont="1" applyFill="1" applyBorder="1" applyAlignment="1">
      <alignment horizontal="right" vertical="top" shrinkToFit="1"/>
    </xf>
    <xf numFmtId="43" fontId="16" fillId="5" borderId="1" xfId="6" applyFont="1" applyFill="1" applyBorder="1" applyAlignment="1">
      <alignment horizontal="right" vertical="top" shrinkToFit="1"/>
    </xf>
    <xf numFmtId="43" fontId="16" fillId="7" borderId="1" xfId="6" applyFont="1" applyFill="1" applyBorder="1" applyAlignment="1">
      <alignment horizontal="right" vertical="top" shrinkToFit="1"/>
    </xf>
    <xf numFmtId="43" fontId="15" fillId="3" borderId="1" xfId="6" applyFont="1" applyFill="1" applyBorder="1" applyAlignment="1">
      <alignment horizontal="right" vertical="top"/>
    </xf>
    <xf numFmtId="0" fontId="25" fillId="0" borderId="0" xfId="0" applyFont="1" applyAlignment="1">
      <alignment horizontal="left" vertical="top"/>
    </xf>
    <xf numFmtId="0" fontId="21" fillId="0" borderId="8" xfId="0" applyFont="1" applyBorder="1" applyAlignment="1">
      <alignment horizontal="left" vertical="center" readingOrder="1"/>
    </xf>
    <xf numFmtId="0" fontId="25" fillId="0" borderId="3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center" readingOrder="1"/>
    </xf>
    <xf numFmtId="164" fontId="15" fillId="3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left" vertical="top"/>
    </xf>
    <xf numFmtId="10" fontId="0" fillId="0" borderId="0" xfId="7" applyNumberFormat="1" applyFont="1" applyAlignment="1">
      <alignment horizontal="left" vertical="top"/>
    </xf>
    <xf numFmtId="168" fontId="0" fillId="0" borderId="0" xfId="0" applyNumberFormat="1" applyAlignment="1">
      <alignment horizontal="left" vertical="top"/>
    </xf>
    <xf numFmtId="0" fontId="15" fillId="6" borderId="1" xfId="0" quotePrefix="1" applyFont="1" applyFill="1" applyBorder="1" applyAlignment="1">
      <alignment horizontal="left" vertical="top" wrapText="1"/>
    </xf>
    <xf numFmtId="43" fontId="22" fillId="0" borderId="1" xfId="6" applyFont="1" applyBorder="1" applyAlignment="1">
      <alignment horizontal="right" vertical="top" readingOrder="1"/>
    </xf>
    <xf numFmtId="43" fontId="0" fillId="0" borderId="0" xfId="6" applyFont="1" applyAlignment="1">
      <alignment horizontal="right" vertical="top"/>
    </xf>
    <xf numFmtId="43" fontId="15" fillId="3" borderId="15" xfId="6" applyFont="1" applyFill="1" applyBorder="1" applyAlignment="1">
      <alignment horizontal="center" vertical="center"/>
    </xf>
    <xf numFmtId="167" fontId="21" fillId="0" borderId="1" xfId="0" quotePrefix="1" applyNumberFormat="1" applyFont="1" applyBorder="1" applyAlignment="1">
      <alignment horizontal="right" vertical="top" readingOrder="1"/>
    </xf>
    <xf numFmtId="167" fontId="21" fillId="0" borderId="1" xfId="0" applyNumberFormat="1" applyFont="1" applyBorder="1" applyAlignment="1">
      <alignment horizontal="right" vertical="top" readingOrder="1"/>
    </xf>
    <xf numFmtId="167" fontId="21" fillId="0" borderId="1" xfId="0" applyNumberFormat="1" applyFont="1" applyBorder="1" applyAlignment="1">
      <alignment horizontal="right" vertical="top" wrapText="1" readingOrder="1"/>
    </xf>
    <xf numFmtId="167" fontId="21" fillId="0" borderId="1" xfId="0" applyNumberFormat="1" applyFont="1" applyBorder="1" applyAlignment="1">
      <alignment horizontal="left" vertical="top" wrapText="1" readingOrder="1"/>
    </xf>
    <xf numFmtId="167" fontId="22" fillId="0" borderId="1" xfId="0" applyNumberFormat="1" applyFont="1" applyBorder="1" applyAlignment="1">
      <alignment horizontal="right" vertical="top" wrapText="1" readingOrder="1"/>
    </xf>
    <xf numFmtId="167" fontId="22" fillId="0" borderId="1" xfId="0" applyNumberFormat="1" applyFont="1" applyBorder="1" applyAlignment="1">
      <alignment horizontal="left" vertical="top" wrapText="1" readingOrder="1"/>
    </xf>
    <xf numFmtId="0" fontId="14" fillId="6" borderId="1" xfId="0" applyFont="1" applyFill="1" applyBorder="1" applyAlignment="1">
      <alignment horizontal="center" vertical="top" wrapText="1"/>
    </xf>
    <xf numFmtId="0" fontId="14" fillId="6" borderId="1" xfId="0" applyFont="1" applyFill="1" applyBorder="1" applyAlignment="1">
      <alignment horizontal="right" vertical="top" wrapText="1"/>
    </xf>
    <xf numFmtId="166" fontId="14" fillId="6" borderId="1" xfId="0" applyNumberFormat="1" applyFont="1" applyFill="1" applyBorder="1" applyAlignment="1">
      <alignment horizontal="left" vertical="top" indent="2" readingOrder="1"/>
    </xf>
    <xf numFmtId="167" fontId="14" fillId="6" borderId="1" xfId="0" applyNumberFormat="1" applyFont="1" applyFill="1" applyBorder="1" applyAlignment="1">
      <alignment horizontal="right" vertical="top" readingOrder="1"/>
    </xf>
    <xf numFmtId="166" fontId="14" fillId="6" borderId="1" xfId="0" applyNumberFormat="1" applyFont="1" applyFill="1" applyBorder="1" applyAlignment="1">
      <alignment horizontal="right" vertical="top" readingOrder="1"/>
    </xf>
    <xf numFmtId="4" fontId="14" fillId="6" borderId="1" xfId="0" applyNumberFormat="1" applyFont="1" applyFill="1" applyBorder="1" applyAlignment="1">
      <alignment horizontal="right" vertical="top" wrapText="1"/>
    </xf>
    <xf numFmtId="43" fontId="15" fillId="6" borderId="1" xfId="6" applyFont="1" applyFill="1" applyBorder="1" applyAlignment="1">
      <alignment horizontal="right" vertical="top" shrinkToFit="1"/>
    </xf>
    <xf numFmtId="2" fontId="14" fillId="6" borderId="1" xfId="0" applyNumberFormat="1" applyFont="1" applyFill="1" applyBorder="1" applyAlignment="1">
      <alignment horizontal="right" vertical="top" shrinkToFit="1"/>
    </xf>
    <xf numFmtId="2" fontId="30" fillId="0" borderId="0" xfId="0" applyNumberFormat="1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14" fillId="5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right" vertical="top" wrapText="1"/>
    </xf>
    <xf numFmtId="166" fontId="14" fillId="5" borderId="1" xfId="0" applyNumberFormat="1" applyFont="1" applyFill="1" applyBorder="1" applyAlignment="1">
      <alignment horizontal="left" vertical="top" indent="2" readingOrder="1"/>
    </xf>
    <xf numFmtId="167" fontId="14" fillId="5" borderId="1" xfId="0" applyNumberFormat="1" applyFont="1" applyFill="1" applyBorder="1" applyAlignment="1">
      <alignment horizontal="right" vertical="top" readingOrder="1"/>
    </xf>
    <xf numFmtId="166" fontId="14" fillId="5" borderId="1" xfId="0" applyNumberFormat="1" applyFont="1" applyFill="1" applyBorder="1" applyAlignment="1">
      <alignment horizontal="right" vertical="top" readingOrder="1"/>
    </xf>
    <xf numFmtId="4" fontId="14" fillId="5" borderId="1" xfId="0" applyNumberFormat="1" applyFont="1" applyFill="1" applyBorder="1" applyAlignment="1">
      <alignment horizontal="right" vertical="top" wrapText="1"/>
    </xf>
    <xf numFmtId="43" fontId="15" fillId="5" borderId="1" xfId="6" applyFont="1" applyFill="1" applyBorder="1" applyAlignment="1">
      <alignment horizontal="right" vertical="top" shrinkToFit="1"/>
    </xf>
    <xf numFmtId="2" fontId="14" fillId="5" borderId="1" xfId="0" applyNumberFormat="1" applyFont="1" applyFill="1" applyBorder="1" applyAlignment="1">
      <alignment horizontal="right" vertical="top" shrinkToFit="1"/>
    </xf>
    <xf numFmtId="166" fontId="14" fillId="0" borderId="1" xfId="0" applyNumberFormat="1" applyFont="1" applyBorder="1" applyAlignment="1">
      <alignment horizontal="left" vertical="top" indent="2" readingOrder="1"/>
    </xf>
    <xf numFmtId="167" fontId="14" fillId="0" borderId="1" xfId="0" applyNumberFormat="1" applyFont="1" applyBorder="1" applyAlignment="1">
      <alignment horizontal="right" vertical="top" readingOrder="1"/>
    </xf>
    <xf numFmtId="166" fontId="14" fillId="0" borderId="1" xfId="0" applyNumberFormat="1" applyFont="1" applyBorder="1" applyAlignment="1">
      <alignment horizontal="right" vertical="top" readingOrder="1"/>
    </xf>
    <xf numFmtId="4" fontId="14" fillId="2" borderId="1" xfId="0" applyNumberFormat="1" applyFont="1" applyFill="1" applyBorder="1" applyAlignment="1">
      <alignment horizontal="right" vertical="top" shrinkToFit="1"/>
    </xf>
    <xf numFmtId="43" fontId="14" fillId="2" borderId="1" xfId="6" applyFont="1" applyFill="1" applyBorder="1" applyAlignment="1">
      <alignment horizontal="right" vertical="top" shrinkToFit="1"/>
    </xf>
    <xf numFmtId="2" fontId="14" fillId="2" borderId="1" xfId="0" applyNumberFormat="1" applyFont="1" applyFill="1" applyBorder="1" applyAlignment="1">
      <alignment horizontal="right" vertical="top" shrinkToFit="1"/>
    </xf>
    <xf numFmtId="4" fontId="15" fillId="5" borderId="1" xfId="0" applyNumberFormat="1" applyFont="1" applyFill="1" applyBorder="1" applyAlignment="1">
      <alignment horizontal="right" vertical="top" shrinkToFit="1"/>
    </xf>
    <xf numFmtId="0" fontId="30" fillId="4" borderId="0" xfId="0" applyFont="1" applyFill="1" applyAlignment="1">
      <alignment horizontal="left" vertical="top"/>
    </xf>
    <xf numFmtId="0" fontId="23" fillId="0" borderId="0" xfId="18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2" fontId="4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4" fontId="42" fillId="0" borderId="0" xfId="0" applyNumberFormat="1" applyFont="1" applyAlignment="1">
      <alignment horizontal="left" vertical="top" indent="3" shrinkToFit="1"/>
    </xf>
    <xf numFmtId="174" fontId="42" fillId="0" borderId="0" xfId="0" applyNumberFormat="1" applyFont="1" applyAlignment="1">
      <alignment horizontal="center" vertical="top" shrinkToFit="1"/>
    </xf>
    <xf numFmtId="2" fontId="43" fillId="0" borderId="0" xfId="0" applyNumberFormat="1" applyFont="1" applyAlignment="1">
      <alignment horizontal="center" vertical="top" shrinkToFit="1"/>
    </xf>
    <xf numFmtId="0" fontId="0" fillId="0" borderId="0" xfId="0" applyAlignment="1">
      <alignment horizontal="left" wrapText="1"/>
    </xf>
    <xf numFmtId="2" fontId="43" fillId="0" borderId="0" xfId="0" applyNumberFormat="1" applyFont="1" applyAlignment="1">
      <alignment horizontal="left" vertical="top" indent="2" shrinkToFit="1"/>
    </xf>
    <xf numFmtId="2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top"/>
    </xf>
    <xf numFmtId="0" fontId="44" fillId="0" borderId="0" xfId="0" applyFont="1" applyAlignment="1">
      <alignment horizontal="left" vertical="top"/>
    </xf>
    <xf numFmtId="2" fontId="44" fillId="0" borderId="0" xfId="0" applyNumberFormat="1" applyFont="1" applyAlignment="1">
      <alignment horizontal="left" vertical="top"/>
    </xf>
    <xf numFmtId="43" fontId="0" fillId="0" borderId="0" xfId="6" applyFont="1" applyAlignment="1">
      <alignment horizontal="left" vertical="top"/>
    </xf>
    <xf numFmtId="43" fontId="0" fillId="0" borderId="1" xfId="6" applyFont="1" applyBorder="1" applyAlignment="1">
      <alignment horizontal="center" vertical="top"/>
    </xf>
    <xf numFmtId="43" fontId="44" fillId="0" borderId="1" xfId="6" applyFont="1" applyBorder="1" applyAlignment="1">
      <alignment horizontal="center" vertical="top"/>
    </xf>
    <xf numFmtId="0" fontId="45" fillId="0" borderId="1" xfId="0" applyFont="1" applyBorder="1" applyAlignment="1">
      <alignment horizontal="left" wrapText="1"/>
    </xf>
    <xf numFmtId="43" fontId="45" fillId="0" borderId="1" xfId="6" applyFont="1" applyBorder="1" applyAlignment="1">
      <alignment horizontal="left" wrapText="1"/>
    </xf>
    <xf numFmtId="43" fontId="50" fillId="0" borderId="1" xfId="6" applyFont="1" applyBorder="1" applyAlignment="1">
      <alignment horizontal="center" vertical="top" wrapText="1"/>
    </xf>
    <xf numFmtId="0" fontId="23" fillId="0" borderId="3" xfId="18" applyBorder="1"/>
    <xf numFmtId="0" fontId="23" fillId="0" borderId="4" xfId="18" applyBorder="1"/>
    <xf numFmtId="0" fontId="23" fillId="0" borderId="5" xfId="18" applyBorder="1"/>
    <xf numFmtId="0" fontId="51" fillId="0" borderId="0" xfId="24" applyFont="1" applyAlignment="1">
      <alignment horizontal="center" vertical="center"/>
    </xf>
    <xf numFmtId="0" fontId="3" fillId="0" borderId="0" xfId="24"/>
    <xf numFmtId="0" fontId="15" fillId="0" borderId="0" xfId="18" applyFont="1" applyAlignment="1">
      <alignment horizontal="left" vertical="top" wrapText="1"/>
    </xf>
    <xf numFmtId="0" fontId="23" fillId="0" borderId="6" xfId="18" applyBorder="1"/>
    <xf numFmtId="0" fontId="14" fillId="0" borderId="0" xfId="18" applyFont="1" applyAlignment="1">
      <alignment horizontal="left" vertical="top" wrapText="1"/>
    </xf>
    <xf numFmtId="166" fontId="15" fillId="0" borderId="0" xfId="18" applyNumberFormat="1" applyFont="1" applyAlignment="1">
      <alignment horizontal="right" vertical="top" wrapText="1"/>
    </xf>
    <xf numFmtId="166" fontId="15" fillId="0" borderId="7" xfId="18" applyNumberFormat="1" applyFont="1" applyBorder="1" applyAlignment="1">
      <alignment horizontal="right" vertical="top" wrapText="1"/>
    </xf>
    <xf numFmtId="0" fontId="15" fillId="0" borderId="6" xfId="18" applyFont="1" applyBorder="1" applyAlignment="1">
      <alignment horizontal="left" vertical="top"/>
    </xf>
    <xf numFmtId="0" fontId="23" fillId="0" borderId="0" xfId="18"/>
    <xf numFmtId="0" fontId="20" fillId="0" borderId="6" xfId="18" applyFont="1" applyBorder="1" applyAlignment="1">
      <alignment horizontal="left" vertical="center" readingOrder="1"/>
    </xf>
    <xf numFmtId="0" fontId="9" fillId="0" borderId="0" xfId="18" applyFont="1" applyAlignment="1">
      <alignment horizontal="left" vertical="center" readingOrder="1"/>
    </xf>
    <xf numFmtId="0" fontId="23" fillId="0" borderId="0" xfId="18" applyAlignment="1">
      <alignment vertical="top"/>
    </xf>
    <xf numFmtId="0" fontId="23" fillId="0" borderId="3" xfId="18" applyBorder="1" applyAlignment="1">
      <alignment horizontal="left" vertical="top"/>
    </xf>
    <xf numFmtId="0" fontId="23" fillId="0" borderId="0" xfId="18" applyAlignment="1">
      <alignment horizontal="right" vertical="top"/>
    </xf>
    <xf numFmtId="0" fontId="23" fillId="0" borderId="7" xfId="18" applyBorder="1" applyAlignment="1">
      <alignment horizontal="right" vertical="top"/>
    </xf>
    <xf numFmtId="0" fontId="20" fillId="0" borderId="8" xfId="18" applyFont="1" applyBorder="1" applyAlignment="1">
      <alignment horizontal="left" vertical="center" readingOrder="1"/>
    </xf>
    <xf numFmtId="0" fontId="20" fillId="0" borderId="9" xfId="18" applyFont="1" applyBorder="1" applyAlignment="1">
      <alignment horizontal="left" vertical="center" readingOrder="1"/>
    </xf>
    <xf numFmtId="0" fontId="21" fillId="0" borderId="8" xfId="18" applyFont="1" applyBorder="1" applyAlignment="1">
      <alignment horizontal="left" vertical="center" readingOrder="1"/>
    </xf>
    <xf numFmtId="0" fontId="23" fillId="0" borderId="1" xfId="18" applyBorder="1" applyAlignment="1">
      <alignment horizontal="center" vertical="center"/>
    </xf>
    <xf numFmtId="0" fontId="23" fillId="0" borderId="0" xfId="18" applyAlignment="1">
      <alignment horizontal="center" vertical="center"/>
    </xf>
    <xf numFmtId="0" fontId="44" fillId="0" borderId="1" xfId="18" applyFont="1" applyBorder="1" applyAlignment="1">
      <alignment horizontal="center" vertical="center"/>
    </xf>
    <xf numFmtId="0" fontId="23" fillId="0" borderId="1" xfId="18" applyBorder="1" applyAlignment="1">
      <alignment horizontal="center" vertical="center" wrapText="1"/>
    </xf>
    <xf numFmtId="2" fontId="51" fillId="0" borderId="1" xfId="24" applyNumberFormat="1" applyFont="1" applyBorder="1" applyAlignment="1">
      <alignment horizontal="center" vertical="center"/>
    </xf>
    <xf numFmtId="0" fontId="51" fillId="0" borderId="1" xfId="24" applyFont="1" applyBorder="1" applyAlignment="1">
      <alignment horizontal="center" vertical="center"/>
    </xf>
    <xf numFmtId="2" fontId="52" fillId="0" borderId="1" xfId="24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7" xfId="0" applyFont="1" applyBorder="1" applyAlignment="1">
      <alignment horizontal="left" vertical="top" wrapText="1"/>
    </xf>
    <xf numFmtId="0" fontId="53" fillId="0" borderId="7" xfId="0" applyFont="1" applyBorder="1" applyAlignment="1">
      <alignment vertical="top" wrapText="1"/>
    </xf>
    <xf numFmtId="0" fontId="53" fillId="0" borderId="10" xfId="0" applyFont="1" applyBorder="1" applyAlignment="1">
      <alignment vertical="top" wrapText="1"/>
    </xf>
    <xf numFmtId="0" fontId="20" fillId="0" borderId="3" xfId="0" applyFont="1" applyBorder="1" applyAlignment="1">
      <alignment horizontal="left" vertical="center" readingOrder="1"/>
    </xf>
    <xf numFmtId="0" fontId="9" fillId="0" borderId="4" xfId="0" applyFont="1" applyBorder="1" applyAlignment="1">
      <alignment horizontal="left" vertical="center" readingOrder="1"/>
    </xf>
    <xf numFmtId="0" fontId="0" fillId="0" borderId="5" xfId="0" applyBorder="1" applyAlignment="1">
      <alignment vertical="top"/>
    </xf>
    <xf numFmtId="0" fontId="23" fillId="0" borderId="17" xfId="0" applyFont="1" applyBorder="1" applyAlignment="1">
      <alignment vertical="top"/>
    </xf>
    <xf numFmtId="0" fontId="20" fillId="0" borderId="10" xfId="0" applyFont="1" applyBorder="1" applyAlignment="1">
      <alignment horizontal="left" vertical="center" readingOrder="1"/>
    </xf>
    <xf numFmtId="0" fontId="21" fillId="0" borderId="2" xfId="0" applyFont="1" applyBorder="1" applyAlignment="1">
      <alignment horizontal="left" vertical="center" readingOrder="1"/>
    </xf>
    <xf numFmtId="0" fontId="31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2" fontId="31" fillId="0" borderId="1" xfId="0" applyNumberFormat="1" applyFont="1" applyBorder="1" applyAlignment="1">
      <alignment horizontal="center" vertical="center"/>
    </xf>
    <xf numFmtId="0" fontId="31" fillId="0" borderId="6" xfId="0" applyFont="1" applyBorder="1" applyAlignment="1">
      <alignment vertical="top" wrapText="1"/>
    </xf>
    <xf numFmtId="0" fontId="31" fillId="0" borderId="0" xfId="0" applyFont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43" fontId="0" fillId="0" borderId="1" xfId="6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14" fontId="57" fillId="2" borderId="0" xfId="25" applyNumberFormat="1" applyFont="1" applyFill="1" applyAlignment="1">
      <alignment horizontal="center"/>
    </xf>
    <xf numFmtId="0" fontId="2" fillId="0" borderId="0" xfId="25"/>
    <xf numFmtId="0" fontId="56" fillId="8" borderId="19" xfId="25" applyFont="1" applyFill="1" applyBorder="1" applyAlignment="1">
      <alignment horizontal="center" vertical="center"/>
    </xf>
    <xf numFmtId="0" fontId="56" fillId="8" borderId="22" xfId="25" applyFont="1" applyFill="1" applyBorder="1" applyAlignment="1">
      <alignment horizontal="center" vertical="center"/>
    </xf>
    <xf numFmtId="0" fontId="33" fillId="0" borderId="1" xfId="25" applyFont="1" applyBorder="1" applyAlignment="1">
      <alignment horizontal="center"/>
    </xf>
    <xf numFmtId="2" fontId="58" fillId="0" borderId="1" xfId="25" applyNumberFormat="1" applyFont="1" applyBorder="1" applyAlignment="1">
      <alignment horizontal="left"/>
    </xf>
    <xf numFmtId="0" fontId="58" fillId="4" borderId="1" xfId="25" applyFont="1" applyFill="1" applyBorder="1" applyAlignment="1">
      <alignment horizontal="center"/>
    </xf>
    <xf numFmtId="14" fontId="58" fillId="0" borderId="1" xfId="25" applyNumberFormat="1" applyFont="1" applyBorder="1" applyAlignment="1">
      <alignment horizontal="center"/>
    </xf>
    <xf numFmtId="2" fontId="58" fillId="0" borderId="1" xfId="25" applyNumberFormat="1" applyFont="1" applyBorder="1" applyAlignment="1">
      <alignment horizontal="center"/>
    </xf>
    <xf numFmtId="2" fontId="58" fillId="0" borderId="9" xfId="25" applyNumberFormat="1" applyFont="1" applyBorder="1" applyAlignment="1">
      <alignment horizontal="center"/>
    </xf>
    <xf numFmtId="0" fontId="2" fillId="0" borderId="0" xfId="25" applyAlignment="1">
      <alignment horizontal="center"/>
    </xf>
    <xf numFmtId="0" fontId="29" fillId="0" borderId="0" xfId="25" applyFont="1"/>
    <xf numFmtId="0" fontId="29" fillId="0" borderId="1" xfId="25" applyFont="1" applyBorder="1"/>
    <xf numFmtId="43" fontId="29" fillId="0" borderId="1" xfId="6" applyFont="1" applyBorder="1" applyAlignment="1">
      <alignment horizontal="center"/>
    </xf>
    <xf numFmtId="43" fontId="29" fillId="0" borderId="0" xfId="25" applyNumberFormat="1" applyFont="1"/>
    <xf numFmtId="43" fontId="31" fillId="0" borderId="1" xfId="0" applyNumberFormat="1" applyFont="1" applyBorder="1" applyAlignment="1">
      <alignment horizontal="center" vertical="center"/>
    </xf>
    <xf numFmtId="10" fontId="8" fillId="2" borderId="0" xfId="0" applyNumberFormat="1" applyFont="1" applyFill="1" applyAlignment="1">
      <alignment horizontal="left" vertical="top"/>
    </xf>
    <xf numFmtId="0" fontId="19" fillId="3" borderId="14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top" readingOrder="1"/>
    </xf>
    <xf numFmtId="0" fontId="24" fillId="0" borderId="14" xfId="0" applyFont="1" applyBorder="1" applyAlignment="1">
      <alignment horizontal="center" vertical="top" readingOrder="1"/>
    </xf>
    <xf numFmtId="0" fontId="15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readingOrder="1"/>
    </xf>
    <xf numFmtId="0" fontId="31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32" fillId="0" borderId="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top"/>
    </xf>
    <xf numFmtId="0" fontId="32" fillId="0" borderId="14" xfId="0" applyFont="1" applyBorder="1" applyAlignment="1">
      <alignment horizontal="center" vertical="top"/>
    </xf>
    <xf numFmtId="0" fontId="32" fillId="0" borderId="15" xfId="0" applyFont="1" applyBorder="1" applyAlignment="1">
      <alignment horizontal="center" vertical="top"/>
    </xf>
    <xf numFmtId="0" fontId="31" fillId="0" borderId="16" xfId="0" applyFont="1" applyBorder="1" applyAlignment="1">
      <alignment horizontal="center" vertical="top"/>
    </xf>
    <xf numFmtId="0" fontId="31" fillId="0" borderId="14" xfId="0" applyFont="1" applyBorder="1" applyAlignment="1">
      <alignment horizontal="center" vertical="top"/>
    </xf>
    <xf numFmtId="0" fontId="31" fillId="0" borderId="15" xfId="0" applyFont="1" applyBorder="1" applyAlignment="1">
      <alignment horizontal="center" vertical="top"/>
    </xf>
    <xf numFmtId="0" fontId="15" fillId="0" borderId="7" xfId="0" applyFont="1" applyBorder="1" applyAlignment="1">
      <alignment horizontal="left" vertical="top" wrapText="1"/>
    </xf>
    <xf numFmtId="0" fontId="53" fillId="0" borderId="6" xfId="0" applyFont="1" applyBorder="1" applyAlignment="1">
      <alignment horizontal="left" vertical="top" wrapText="1"/>
    </xf>
    <xf numFmtId="0" fontId="53" fillId="0" borderId="0" xfId="0" applyFont="1" applyAlignment="1">
      <alignment horizontal="left" vertical="top" wrapText="1"/>
    </xf>
    <xf numFmtId="0" fontId="53" fillId="0" borderId="8" xfId="0" applyFont="1" applyBorder="1" applyAlignment="1">
      <alignment horizontal="left" vertical="top" wrapText="1"/>
    </xf>
    <xf numFmtId="0" fontId="53" fillId="0" borderId="9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center" vertical="top" readingOrder="1"/>
    </xf>
    <xf numFmtId="0" fontId="54" fillId="0" borderId="1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9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top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35" fillId="0" borderId="1" xfId="0" applyFont="1" applyBorder="1" applyAlignment="1">
      <alignment horizontal="left" vertical="center" wrapText="1" indent="5"/>
    </xf>
    <xf numFmtId="0" fontId="0" fillId="0" borderId="1" xfId="0" applyBorder="1" applyAlignment="1">
      <alignment horizontal="left" vertical="center" wrapText="1" indent="5"/>
    </xf>
    <xf numFmtId="0" fontId="3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right" vertical="top"/>
    </xf>
    <xf numFmtId="0" fontId="44" fillId="0" borderId="1" xfId="0" applyFont="1" applyBorder="1" applyAlignment="1">
      <alignment horizontal="center" vertical="top"/>
    </xf>
    <xf numFmtId="0" fontId="45" fillId="0" borderId="16" xfId="0" applyFont="1" applyBorder="1" applyAlignment="1">
      <alignment horizontal="right" vertical="top" wrapText="1"/>
    </xf>
    <xf numFmtId="0" fontId="45" fillId="0" borderId="14" xfId="0" applyFont="1" applyBorder="1" applyAlignment="1">
      <alignment horizontal="right" vertical="top" wrapText="1"/>
    </xf>
    <xf numFmtId="0" fontId="45" fillId="0" borderId="15" xfId="0" applyFont="1" applyBorder="1" applyAlignment="1">
      <alignment horizontal="right" vertical="top" wrapText="1"/>
    </xf>
    <xf numFmtId="0" fontId="45" fillId="0" borderId="1" xfId="0" applyFont="1" applyBorder="1" applyAlignment="1">
      <alignment horizontal="left" vertical="top" wrapText="1" indent="4"/>
    </xf>
    <xf numFmtId="2" fontId="12" fillId="0" borderId="1" xfId="0" applyNumberFormat="1" applyFont="1" applyBorder="1" applyAlignment="1">
      <alignment horizontal="center" vertical="center"/>
    </xf>
    <xf numFmtId="0" fontId="29" fillId="0" borderId="1" xfId="25" applyFont="1" applyBorder="1" applyAlignment="1">
      <alignment horizontal="center"/>
    </xf>
    <xf numFmtId="0" fontId="56" fillId="8" borderId="18" xfId="25" applyFont="1" applyFill="1" applyBorder="1" applyAlignment="1">
      <alignment horizontal="center" vertical="center"/>
    </xf>
    <xf numFmtId="0" fontId="56" fillId="8" borderId="23" xfId="25" applyFont="1" applyFill="1" applyBorder="1" applyAlignment="1">
      <alignment horizontal="center" vertical="center"/>
    </xf>
    <xf numFmtId="0" fontId="56" fillId="8" borderId="19" xfId="25" applyFont="1" applyFill="1" applyBorder="1" applyAlignment="1">
      <alignment horizontal="center" vertical="center"/>
    </xf>
    <xf numFmtId="0" fontId="56" fillId="8" borderId="20" xfId="25" applyFont="1" applyFill="1" applyBorder="1" applyAlignment="1">
      <alignment horizontal="center" vertical="center"/>
    </xf>
    <xf numFmtId="0" fontId="56" fillId="8" borderId="21" xfId="25" applyFont="1" applyFill="1" applyBorder="1" applyAlignment="1">
      <alignment horizontal="center" vertical="center"/>
    </xf>
    <xf numFmtId="0" fontId="15" fillId="0" borderId="6" xfId="18" applyFont="1" applyBorder="1" applyAlignment="1">
      <alignment horizontal="left" vertical="top" wrapText="1"/>
    </xf>
    <xf numFmtId="0" fontId="15" fillId="0" borderId="0" xfId="18" applyFont="1" applyAlignment="1">
      <alignment horizontal="left" vertical="top" wrapText="1"/>
    </xf>
    <xf numFmtId="0" fontId="15" fillId="0" borderId="7" xfId="18" applyFont="1" applyBorder="1" applyAlignment="1">
      <alignment horizontal="left" vertical="top" wrapText="1"/>
    </xf>
    <xf numFmtId="0" fontId="24" fillId="0" borderId="16" xfId="18" applyFont="1" applyBorder="1" applyAlignment="1">
      <alignment horizontal="center" vertical="top" readingOrder="1"/>
    </xf>
    <xf numFmtId="0" fontId="24" fillId="0" borderId="14" xfId="18" applyFont="1" applyBorder="1" applyAlignment="1">
      <alignment horizontal="center" vertical="top" readingOrder="1"/>
    </xf>
    <xf numFmtId="0" fontId="24" fillId="0" borderId="15" xfId="18" applyFont="1" applyBorder="1" applyAlignment="1">
      <alignment horizontal="center" vertical="top" readingOrder="1"/>
    </xf>
    <xf numFmtId="0" fontId="21" fillId="0" borderId="9" xfId="18" applyFont="1" applyBorder="1" applyAlignment="1">
      <alignment horizontal="left" vertical="center" readingOrder="1"/>
    </xf>
    <xf numFmtId="0" fontId="21" fillId="0" borderId="10" xfId="18" applyFont="1" applyBorder="1" applyAlignment="1">
      <alignment horizontal="left" vertical="center" readingOrder="1"/>
    </xf>
    <xf numFmtId="0" fontId="51" fillId="0" borderId="1" xfId="24" applyFont="1" applyBorder="1" applyAlignment="1">
      <alignment horizontal="right" vertical="center"/>
    </xf>
    <xf numFmtId="0" fontId="44" fillId="0" borderId="1" xfId="18" applyFont="1" applyBorder="1" applyAlignment="1">
      <alignment horizontal="center" vertical="center"/>
    </xf>
    <xf numFmtId="0" fontId="52" fillId="3" borderId="0" xfId="24" applyFont="1" applyFill="1" applyAlignment="1">
      <alignment horizontal="left" vertical="center"/>
    </xf>
    <xf numFmtId="0" fontId="24" fillId="0" borderId="24" xfId="18" applyFont="1" applyBorder="1" applyAlignment="1">
      <alignment horizontal="center" vertical="top" readingOrder="1"/>
    </xf>
    <xf numFmtId="0" fontId="24" fillId="0" borderId="25" xfId="18" applyFont="1" applyBorder="1" applyAlignment="1">
      <alignment horizontal="center" vertical="top" readingOrder="1"/>
    </xf>
    <xf numFmtId="0" fontId="24" fillId="0" borderId="26" xfId="18" applyFont="1" applyBorder="1" applyAlignment="1">
      <alignment horizontal="center" vertical="top" readingOrder="1"/>
    </xf>
    <xf numFmtId="0" fontId="24" fillId="0" borderId="27" xfId="18" applyFont="1" applyBorder="1" applyAlignment="1">
      <alignment horizontal="center" vertical="top" readingOrder="1"/>
    </xf>
    <xf numFmtId="0" fontId="24" fillId="0" borderId="0" xfId="18" applyFont="1" applyAlignment="1">
      <alignment horizontal="center" vertical="top" readingOrder="1"/>
    </xf>
    <xf numFmtId="44" fontId="0" fillId="0" borderId="0" xfId="31" applyFont="1"/>
    <xf numFmtId="10" fontId="23" fillId="0" borderId="0" xfId="18" applyNumberFormat="1"/>
    <xf numFmtId="0" fontId="14" fillId="0" borderId="28" xfId="32" applyFont="1" applyBorder="1" applyAlignment="1">
      <alignment horizontal="left" vertical="center" wrapText="1"/>
    </xf>
    <xf numFmtId="0" fontId="14" fillId="0" borderId="2" xfId="32" applyFont="1" applyBorder="1" applyAlignment="1">
      <alignment horizontal="left" vertical="center" wrapText="1"/>
    </xf>
    <xf numFmtId="177" fontId="15" fillId="0" borderId="1" xfId="32" applyNumberFormat="1" applyFont="1" applyBorder="1" applyAlignment="1">
      <alignment vertical="center"/>
    </xf>
    <xf numFmtId="177" fontId="15" fillId="0" borderId="0" xfId="32" applyNumberFormat="1" applyFont="1" applyAlignment="1">
      <alignment vertical="center"/>
    </xf>
    <xf numFmtId="177" fontId="15" fillId="0" borderId="0" xfId="32" applyNumberFormat="1" applyFont="1" applyAlignment="1">
      <alignment horizontal="center" vertical="center"/>
    </xf>
    <xf numFmtId="0" fontId="14" fillId="0" borderId="29" xfId="32" applyFont="1" applyBorder="1" applyAlignment="1">
      <alignment horizontal="left" vertical="center"/>
    </xf>
    <xf numFmtId="0" fontId="14" fillId="0" borderId="1" xfId="32" applyFont="1" applyBorder="1" applyAlignment="1">
      <alignment horizontal="left" vertical="center"/>
    </xf>
    <xf numFmtId="0" fontId="15" fillId="0" borderId="1" xfId="32" applyFont="1" applyBorder="1" applyAlignment="1">
      <alignment horizontal="left" vertical="center"/>
    </xf>
    <xf numFmtId="0" fontId="15" fillId="0" borderId="1" xfId="32" applyFont="1" applyBorder="1" applyAlignment="1">
      <alignment horizontal="left" vertical="center" wrapText="1"/>
    </xf>
    <xf numFmtId="0" fontId="15" fillId="0" borderId="0" xfId="32" applyFont="1" applyAlignment="1">
      <alignment horizontal="left" vertical="center"/>
    </xf>
    <xf numFmtId="10" fontId="14" fillId="0" borderId="0" xfId="32" applyNumberFormat="1" applyFont="1" applyAlignment="1">
      <alignment vertical="center"/>
    </xf>
    <xf numFmtId="0" fontId="14" fillId="0" borderId="0" xfId="32" applyFont="1" applyAlignment="1">
      <alignment vertical="center"/>
    </xf>
    <xf numFmtId="10" fontId="14" fillId="0" borderId="0" xfId="32" applyNumberFormat="1" applyFont="1" applyAlignment="1">
      <alignment horizontal="center" vertical="center"/>
    </xf>
    <xf numFmtId="0" fontId="14" fillId="0" borderId="30" xfId="32" applyFont="1" applyBorder="1" applyAlignment="1">
      <alignment horizontal="left" vertical="center"/>
    </xf>
    <xf numFmtId="0" fontId="14" fillId="0" borderId="17" xfId="32" applyFont="1" applyBorder="1" applyAlignment="1">
      <alignment horizontal="left" vertical="center"/>
    </xf>
    <xf numFmtId="17" fontId="14" fillId="0" borderId="0" xfId="32" applyNumberFormat="1" applyFont="1" applyAlignment="1">
      <alignment vertical="center"/>
    </xf>
    <xf numFmtId="17" fontId="14" fillId="0" borderId="0" xfId="32" applyNumberFormat="1" applyFont="1" applyAlignment="1">
      <alignment horizontal="center" vertical="center"/>
    </xf>
    <xf numFmtId="0" fontId="15" fillId="3" borderId="31" xfId="18" applyFont="1" applyFill="1" applyBorder="1" applyAlignment="1">
      <alignment horizontal="center" vertical="center" wrapText="1"/>
    </xf>
    <xf numFmtId="0" fontId="15" fillId="3" borderId="32" xfId="18" applyFont="1" applyFill="1" applyBorder="1" applyAlignment="1">
      <alignment horizontal="center" vertical="center" wrapText="1"/>
    </xf>
    <xf numFmtId="0" fontId="15" fillId="3" borderId="8" xfId="18" applyFont="1" applyFill="1" applyBorder="1" applyAlignment="1">
      <alignment horizontal="center" vertical="center" wrapText="1"/>
    </xf>
    <xf numFmtId="0" fontId="15" fillId="0" borderId="28" xfId="18" applyFont="1" applyBorder="1" applyAlignment="1">
      <alignment horizontal="center" vertical="center" wrapText="1"/>
    </xf>
    <xf numFmtId="0" fontId="15" fillId="0" borderId="32" xfId="18" applyFont="1" applyBorder="1" applyAlignment="1">
      <alignment horizontal="center" vertical="center" wrapText="1"/>
    </xf>
    <xf numFmtId="164" fontId="15" fillId="3" borderId="32" xfId="18" applyNumberFormat="1" applyFont="1" applyFill="1" applyBorder="1" applyAlignment="1">
      <alignment horizontal="center" vertical="center" wrapText="1"/>
    </xf>
    <xf numFmtId="164" fontId="15" fillId="3" borderId="33" xfId="18" applyNumberFormat="1" applyFont="1" applyFill="1" applyBorder="1" applyAlignment="1">
      <alignment horizontal="center" vertical="center" wrapText="1"/>
    </xf>
    <xf numFmtId="164" fontId="15" fillId="3" borderId="0" xfId="18" applyNumberFormat="1" applyFont="1" applyFill="1" applyAlignment="1">
      <alignment horizontal="center" vertical="center" wrapText="1"/>
    </xf>
    <xf numFmtId="0" fontId="23" fillId="0" borderId="0" xfId="18" applyAlignment="1">
      <alignment horizontal="center"/>
    </xf>
    <xf numFmtId="0" fontId="15" fillId="3" borderId="34" xfId="18" applyFont="1" applyFill="1" applyBorder="1" applyAlignment="1">
      <alignment horizontal="center" vertical="center" wrapText="1"/>
    </xf>
    <xf numFmtId="0" fontId="15" fillId="3" borderId="35" xfId="18" applyFont="1" applyFill="1" applyBorder="1" applyAlignment="1">
      <alignment horizontal="center" vertical="center" wrapText="1"/>
    </xf>
    <xf numFmtId="0" fontId="15" fillId="3" borderId="36" xfId="18" applyFont="1" applyFill="1" applyBorder="1" applyAlignment="1">
      <alignment horizontal="center" vertical="center" wrapText="1"/>
    </xf>
    <xf numFmtId="0" fontId="15" fillId="3" borderId="34" xfId="18" applyFont="1" applyFill="1" applyBorder="1" applyAlignment="1">
      <alignment horizontal="center" vertical="center" wrapText="1"/>
    </xf>
    <xf numFmtId="0" fontId="15" fillId="3" borderId="35" xfId="18" applyFont="1" applyFill="1" applyBorder="1" applyAlignment="1">
      <alignment horizontal="center" vertical="center" wrapText="1"/>
    </xf>
    <xf numFmtId="164" fontId="15" fillId="3" borderId="35" xfId="18" applyNumberFormat="1" applyFont="1" applyFill="1" applyBorder="1" applyAlignment="1">
      <alignment horizontal="center" vertical="center" wrapText="1"/>
    </xf>
    <xf numFmtId="0" fontId="15" fillId="3" borderId="35" xfId="18" applyFont="1" applyFill="1" applyBorder="1" applyAlignment="1">
      <alignment vertical="center" wrapText="1"/>
    </xf>
    <xf numFmtId="164" fontId="15" fillId="3" borderId="35" xfId="18" applyNumberFormat="1" applyFont="1" applyFill="1" applyBorder="1" applyAlignment="1">
      <alignment horizontal="center" vertical="center" wrapText="1"/>
    </xf>
    <xf numFmtId="164" fontId="15" fillId="3" borderId="37" xfId="18" applyNumberFormat="1" applyFont="1" applyFill="1" applyBorder="1" applyAlignment="1">
      <alignment horizontal="center" vertical="center" wrapText="1"/>
    </xf>
    <xf numFmtId="164" fontId="13" fillId="0" borderId="0" xfId="18" applyNumberFormat="1" applyFont="1" applyAlignment="1">
      <alignment horizontal="center"/>
    </xf>
    <xf numFmtId="44" fontId="8" fillId="2" borderId="0" xfId="31" applyFont="1" applyFill="1" applyAlignment="1">
      <alignment horizontal="left" vertical="top"/>
    </xf>
    <xf numFmtId="0" fontId="8" fillId="2" borderId="0" xfId="18" applyFont="1" applyFill="1" applyAlignment="1">
      <alignment horizontal="left" vertical="top"/>
    </xf>
    <xf numFmtId="10" fontId="8" fillId="2" borderId="0" xfId="18" applyNumberFormat="1" applyFont="1" applyFill="1" applyAlignment="1">
      <alignment horizontal="left" vertical="top"/>
    </xf>
    <xf numFmtId="0" fontId="15" fillId="3" borderId="28" xfId="18" applyFont="1" applyFill="1" applyBorder="1" applyAlignment="1">
      <alignment horizontal="center" vertical="center" wrapText="1"/>
    </xf>
    <xf numFmtId="0" fontId="15" fillId="3" borderId="2" xfId="18" applyFont="1" applyFill="1" applyBorder="1" applyAlignment="1">
      <alignment horizontal="center" vertical="center" wrapText="1"/>
    </xf>
    <xf numFmtId="0" fontId="14" fillId="3" borderId="2" xfId="18" applyFont="1" applyFill="1" applyBorder="1" applyAlignment="1">
      <alignment horizontal="center" vertical="center" wrapText="1"/>
    </xf>
    <xf numFmtId="0" fontId="14" fillId="3" borderId="2" xfId="18" applyFont="1" applyFill="1" applyBorder="1" applyAlignment="1">
      <alignment horizontal="right" vertical="center" wrapText="1"/>
    </xf>
    <xf numFmtId="164" fontId="14" fillId="3" borderId="2" xfId="18" applyNumberFormat="1" applyFont="1" applyFill="1" applyBorder="1" applyAlignment="1">
      <alignment horizontal="right" vertical="center" wrapText="1"/>
    </xf>
    <xf numFmtId="43" fontId="15" fillId="3" borderId="10" xfId="20" applyFont="1" applyFill="1" applyBorder="1" applyAlignment="1">
      <alignment horizontal="right" vertical="center"/>
    </xf>
    <xf numFmtId="10" fontId="15" fillId="3" borderId="9" xfId="18" applyNumberFormat="1" applyFont="1" applyFill="1" applyBorder="1" applyAlignment="1">
      <alignment horizontal="center" vertical="center" wrapText="1"/>
    </xf>
    <xf numFmtId="164" fontId="14" fillId="3" borderId="0" xfId="18" applyNumberFormat="1" applyFont="1" applyFill="1" applyAlignment="1">
      <alignment horizontal="right" vertical="center" wrapText="1"/>
    </xf>
    <xf numFmtId="0" fontId="15" fillId="6" borderId="29" xfId="18" applyFont="1" applyFill="1" applyBorder="1" applyAlignment="1">
      <alignment horizontal="left" vertical="center" wrapText="1"/>
    </xf>
    <xf numFmtId="0" fontId="12" fillId="6" borderId="1" xfId="18" applyFont="1" applyFill="1" applyBorder="1" applyAlignment="1">
      <alignment horizontal="center" vertical="center" wrapText="1"/>
    </xf>
    <xf numFmtId="0" fontId="15" fillId="6" borderId="1" xfId="18" applyFont="1" applyFill="1" applyBorder="1" applyAlignment="1">
      <alignment horizontal="left" vertical="center" wrapText="1"/>
    </xf>
    <xf numFmtId="0" fontId="15" fillId="6" borderId="1" xfId="18" applyFont="1" applyFill="1" applyBorder="1" applyAlignment="1">
      <alignment horizontal="center" vertical="center" wrapText="1"/>
    </xf>
    <xf numFmtId="167" fontId="15" fillId="6" borderId="1" xfId="18" applyNumberFormat="1" applyFont="1" applyFill="1" applyBorder="1" applyAlignment="1">
      <alignment horizontal="right" vertical="center" readingOrder="1"/>
    </xf>
    <xf numFmtId="4" fontId="15" fillId="6" borderId="1" xfId="18" applyNumberFormat="1" applyFont="1" applyFill="1" applyBorder="1" applyAlignment="1">
      <alignment horizontal="right" vertical="center" wrapText="1"/>
    </xf>
    <xf numFmtId="43" fontId="15" fillId="6" borderId="1" xfId="20" applyFont="1" applyFill="1" applyBorder="1" applyAlignment="1">
      <alignment horizontal="right" vertical="center" shrinkToFit="1"/>
    </xf>
    <xf numFmtId="10" fontId="15" fillId="6" borderId="16" xfId="18" applyNumberFormat="1" applyFont="1" applyFill="1" applyBorder="1" applyAlignment="1">
      <alignment horizontal="center" vertical="center" wrapText="1"/>
    </xf>
    <xf numFmtId="4" fontId="15" fillId="6" borderId="0" xfId="18" applyNumberFormat="1" applyFont="1" applyFill="1" applyAlignment="1">
      <alignment horizontal="right" vertical="center" wrapText="1"/>
    </xf>
    <xf numFmtId="2" fontId="23" fillId="0" borderId="0" xfId="18" applyNumberFormat="1" applyAlignment="1">
      <alignment horizontal="left" vertical="top"/>
    </xf>
    <xf numFmtId="44" fontId="0" fillId="0" borderId="0" xfId="31" applyFont="1" applyAlignment="1">
      <alignment horizontal="left" vertical="top"/>
    </xf>
    <xf numFmtId="2" fontId="45" fillId="0" borderId="0" xfId="18" applyNumberFormat="1" applyFont="1" applyAlignment="1">
      <alignment horizontal="left" vertical="top"/>
    </xf>
    <xf numFmtId="10" fontId="23" fillId="0" borderId="0" xfId="18" applyNumberFormat="1" applyAlignment="1">
      <alignment horizontal="left" vertical="top"/>
    </xf>
    <xf numFmtId="0" fontId="15" fillId="5" borderId="29" xfId="18" applyFont="1" applyFill="1" applyBorder="1" applyAlignment="1">
      <alignment horizontal="left" vertical="center" wrapText="1"/>
    </xf>
    <xf numFmtId="0" fontId="12" fillId="5" borderId="1" xfId="18" applyFont="1" applyFill="1" applyBorder="1" applyAlignment="1">
      <alignment horizontal="center" vertical="center" wrapText="1"/>
    </xf>
    <xf numFmtId="0" fontId="15" fillId="5" borderId="1" xfId="18" applyFont="1" applyFill="1" applyBorder="1" applyAlignment="1">
      <alignment horizontal="left" vertical="center" wrapText="1"/>
    </xf>
    <xf numFmtId="0" fontId="15" fillId="5" borderId="1" xfId="18" applyFont="1" applyFill="1" applyBorder="1" applyAlignment="1">
      <alignment horizontal="center" vertical="center" wrapText="1"/>
    </xf>
    <xf numFmtId="167" fontId="15" fillId="5" borderId="1" xfId="18" applyNumberFormat="1" applyFont="1" applyFill="1" applyBorder="1" applyAlignment="1">
      <alignment horizontal="right" vertical="center" readingOrder="1"/>
    </xf>
    <xf numFmtId="4" fontId="15" fillId="5" borderId="1" xfId="18" applyNumberFormat="1" applyFont="1" applyFill="1" applyBorder="1" applyAlignment="1">
      <alignment horizontal="right" vertical="center" wrapText="1"/>
    </xf>
    <xf numFmtId="43" fontId="15" fillId="5" borderId="1" xfId="20" applyFont="1" applyFill="1" applyBorder="1" applyAlignment="1">
      <alignment horizontal="right" vertical="center" shrinkToFit="1"/>
    </xf>
    <xf numFmtId="10" fontId="15" fillId="5" borderId="16" xfId="18" applyNumberFormat="1" applyFont="1" applyFill="1" applyBorder="1" applyAlignment="1">
      <alignment horizontal="center" vertical="center" wrapText="1"/>
    </xf>
    <xf numFmtId="4" fontId="15" fillId="5" borderId="0" xfId="18" applyNumberFormat="1" applyFont="1" applyFill="1" applyAlignment="1">
      <alignment horizontal="right" vertical="center" wrapText="1"/>
    </xf>
    <xf numFmtId="0" fontId="15" fillId="7" borderId="29" xfId="18" applyFont="1" applyFill="1" applyBorder="1" applyAlignment="1">
      <alignment horizontal="left" vertical="center" wrapText="1"/>
    </xf>
    <xf numFmtId="0" fontId="12" fillId="7" borderId="1" xfId="18" applyFont="1" applyFill="1" applyBorder="1" applyAlignment="1">
      <alignment horizontal="center" vertical="center" wrapText="1"/>
    </xf>
    <xf numFmtId="0" fontId="15" fillId="7" borderId="1" xfId="18" applyFont="1" applyFill="1" applyBorder="1" applyAlignment="1">
      <alignment horizontal="left" vertical="center" wrapText="1"/>
    </xf>
    <xf numFmtId="0" fontId="15" fillId="7" borderId="1" xfId="18" applyFont="1" applyFill="1" applyBorder="1" applyAlignment="1">
      <alignment horizontal="center" vertical="center" wrapText="1"/>
    </xf>
    <xf numFmtId="167" fontId="15" fillId="7" borderId="1" xfId="18" applyNumberFormat="1" applyFont="1" applyFill="1" applyBorder="1" applyAlignment="1">
      <alignment horizontal="right" vertical="center" readingOrder="1"/>
    </xf>
    <xf numFmtId="4" fontId="15" fillId="7" borderId="1" xfId="18" applyNumberFormat="1" applyFont="1" applyFill="1" applyBorder="1" applyAlignment="1">
      <alignment horizontal="right" vertical="center" wrapText="1"/>
    </xf>
    <xf numFmtId="43" fontId="15" fillId="7" borderId="1" xfId="20" applyFont="1" applyFill="1" applyBorder="1" applyAlignment="1">
      <alignment horizontal="right" vertical="center" shrinkToFit="1"/>
    </xf>
    <xf numFmtId="10" fontId="15" fillId="7" borderId="16" xfId="18" applyNumberFormat="1" applyFont="1" applyFill="1" applyBorder="1" applyAlignment="1">
      <alignment horizontal="center" vertical="center" wrapText="1"/>
    </xf>
    <xf numFmtId="4" fontId="15" fillId="7" borderId="0" xfId="18" applyNumberFormat="1" applyFont="1" applyFill="1" applyAlignment="1">
      <alignment horizontal="right" vertical="center" wrapText="1"/>
    </xf>
    <xf numFmtId="0" fontId="14" fillId="2" borderId="29" xfId="18" applyFont="1" applyFill="1" applyBorder="1" applyAlignment="1">
      <alignment horizontal="left" vertical="center" wrapText="1"/>
    </xf>
    <xf numFmtId="0" fontId="14" fillId="2" borderId="1" xfId="18" applyFont="1" applyFill="1" applyBorder="1" applyAlignment="1">
      <alignment horizontal="center" vertical="center" wrapText="1"/>
    </xf>
    <xf numFmtId="0" fontId="14" fillId="2" borderId="1" xfId="18" applyFont="1" applyFill="1" applyBorder="1" applyAlignment="1">
      <alignment horizontal="left" vertical="center" wrapText="1"/>
    </xf>
    <xf numFmtId="43" fontId="14" fillId="0" borderId="1" xfId="20" applyFont="1" applyBorder="1" applyAlignment="1">
      <alignment horizontal="right" vertical="center" readingOrder="1"/>
    </xf>
    <xf numFmtId="4" fontId="14" fillId="2" borderId="1" xfId="18" applyNumberFormat="1" applyFont="1" applyFill="1" applyBorder="1" applyAlignment="1">
      <alignment horizontal="right" vertical="center" shrinkToFit="1"/>
    </xf>
    <xf numFmtId="43" fontId="14" fillId="2" borderId="1" xfId="20" applyFont="1" applyFill="1" applyBorder="1" applyAlignment="1">
      <alignment horizontal="right" vertical="center" shrinkToFit="1"/>
    </xf>
    <xf numFmtId="43" fontId="14" fillId="2" borderId="14" xfId="33" applyFont="1" applyFill="1" applyBorder="1" applyAlignment="1">
      <alignment horizontal="right" vertical="center" shrinkToFit="1"/>
    </xf>
    <xf numFmtId="43" fontId="14" fillId="2" borderId="16" xfId="33" applyFont="1" applyFill="1" applyBorder="1" applyAlignment="1">
      <alignment horizontal="right" vertical="center" shrinkToFit="1"/>
    </xf>
    <xf numFmtId="10" fontId="14" fillId="2" borderId="16" xfId="33" applyNumberFormat="1" applyFont="1" applyFill="1" applyBorder="1" applyAlignment="1">
      <alignment horizontal="center" vertical="center" shrinkToFit="1"/>
    </xf>
    <xf numFmtId="43" fontId="14" fillId="2" borderId="0" xfId="33" applyFont="1" applyFill="1" applyBorder="1" applyAlignment="1">
      <alignment horizontal="right" vertical="center" shrinkToFit="1"/>
    </xf>
    <xf numFmtId="2" fontId="60" fillId="0" borderId="0" xfId="18" applyNumberFormat="1" applyFont="1" applyAlignment="1">
      <alignment horizontal="left" vertical="top"/>
    </xf>
    <xf numFmtId="44" fontId="60" fillId="0" borderId="0" xfId="31" applyFont="1" applyAlignment="1">
      <alignment horizontal="left" vertical="top"/>
    </xf>
    <xf numFmtId="10" fontId="60" fillId="0" borderId="0" xfId="18" applyNumberFormat="1" applyFont="1" applyAlignment="1">
      <alignment horizontal="left" vertical="top"/>
    </xf>
    <xf numFmtId="0" fontId="60" fillId="0" borderId="0" xfId="18" applyFont="1" applyAlignment="1">
      <alignment horizontal="left" vertical="top"/>
    </xf>
    <xf numFmtId="2" fontId="44" fillId="0" borderId="0" xfId="18" applyNumberFormat="1" applyFont="1" applyAlignment="1">
      <alignment horizontal="left" vertical="top"/>
    </xf>
    <xf numFmtId="44" fontId="44" fillId="0" borderId="0" xfId="31" applyFont="1" applyAlignment="1">
      <alignment horizontal="left" vertical="top"/>
    </xf>
    <xf numFmtId="2" fontId="61" fillId="0" borderId="0" xfId="18" applyNumberFormat="1" applyFont="1" applyAlignment="1">
      <alignment horizontal="left" vertical="top"/>
    </xf>
    <xf numFmtId="0" fontId="44" fillId="0" borderId="0" xfId="18" applyFont="1" applyAlignment="1">
      <alignment horizontal="left" vertical="top"/>
    </xf>
    <xf numFmtId="0" fontId="14" fillId="0" borderId="1" xfId="18" applyFont="1" applyBorder="1" applyAlignment="1">
      <alignment horizontal="center" vertical="center" wrapText="1"/>
    </xf>
    <xf numFmtId="0" fontId="14" fillId="0" borderId="1" xfId="18" applyFont="1" applyBorder="1" applyAlignment="1">
      <alignment horizontal="left" vertical="center" wrapText="1"/>
    </xf>
    <xf numFmtId="0" fontId="14" fillId="2" borderId="1" xfId="34" applyFont="1" applyFill="1" applyBorder="1" applyAlignment="1">
      <alignment horizontal="left" vertical="center" wrapText="1"/>
    </xf>
    <xf numFmtId="0" fontId="16" fillId="5" borderId="1" xfId="18" applyFont="1" applyFill="1" applyBorder="1" applyAlignment="1">
      <alignment horizontal="center" vertical="center" wrapText="1"/>
    </xf>
    <xf numFmtId="0" fontId="15" fillId="9" borderId="29" xfId="18" applyFont="1" applyFill="1" applyBorder="1" applyAlignment="1">
      <alignment horizontal="left" vertical="center" wrapText="1"/>
    </xf>
    <xf numFmtId="0" fontId="15" fillId="9" borderId="1" xfId="18" applyFont="1" applyFill="1" applyBorder="1" applyAlignment="1">
      <alignment horizontal="center" vertical="center" wrapText="1"/>
    </xf>
    <xf numFmtId="0" fontId="15" fillId="9" borderId="1" xfId="18" applyFont="1" applyFill="1" applyBorder="1" applyAlignment="1">
      <alignment horizontal="left" vertical="center" wrapText="1"/>
    </xf>
    <xf numFmtId="43" fontId="15" fillId="9" borderId="1" xfId="20" applyFont="1" applyFill="1" applyBorder="1" applyAlignment="1">
      <alignment horizontal="right" vertical="center" readingOrder="1"/>
    </xf>
    <xf numFmtId="4" fontId="15" fillId="9" borderId="1" xfId="18" applyNumberFormat="1" applyFont="1" applyFill="1" applyBorder="1" applyAlignment="1">
      <alignment horizontal="right" vertical="center" shrinkToFit="1"/>
    </xf>
    <xf numFmtId="43" fontId="15" fillId="9" borderId="1" xfId="20" applyFont="1" applyFill="1" applyBorder="1" applyAlignment="1">
      <alignment horizontal="right" vertical="center" shrinkToFit="1"/>
    </xf>
    <xf numFmtId="10" fontId="15" fillId="9" borderId="16" xfId="18" applyNumberFormat="1" applyFont="1" applyFill="1" applyBorder="1" applyAlignment="1">
      <alignment horizontal="center" vertical="center" shrinkToFit="1"/>
    </xf>
    <xf numFmtId="10" fontId="14" fillId="2" borderId="16" xfId="18" applyNumberFormat="1" applyFont="1" applyFill="1" applyBorder="1" applyAlignment="1">
      <alignment horizontal="center" vertical="center" shrinkToFit="1"/>
    </xf>
    <xf numFmtId="0" fontId="16" fillId="6" borderId="1" xfId="18" applyFont="1" applyFill="1" applyBorder="1" applyAlignment="1">
      <alignment horizontal="center" vertical="center" wrapText="1"/>
    </xf>
    <xf numFmtId="0" fontId="14" fillId="2" borderId="30" xfId="18" applyFont="1" applyFill="1" applyBorder="1" applyAlignment="1">
      <alignment horizontal="left" vertical="center" wrapText="1"/>
    </xf>
    <xf numFmtId="0" fontId="14" fillId="2" borderId="17" xfId="18" applyFont="1" applyFill="1" applyBorder="1" applyAlignment="1">
      <alignment horizontal="center" vertical="center" wrapText="1"/>
    </xf>
    <xf numFmtId="0" fontId="14" fillId="2" borderId="17" xfId="18" applyFont="1" applyFill="1" applyBorder="1" applyAlignment="1">
      <alignment horizontal="left" vertical="center" wrapText="1"/>
    </xf>
    <xf numFmtId="43" fontId="14" fillId="0" borderId="17" xfId="20" applyFont="1" applyBorder="1" applyAlignment="1">
      <alignment horizontal="right" vertical="center" readingOrder="1"/>
    </xf>
    <xf numFmtId="4" fontId="14" fillId="2" borderId="17" xfId="18" applyNumberFormat="1" applyFont="1" applyFill="1" applyBorder="1" applyAlignment="1">
      <alignment horizontal="right" vertical="center" shrinkToFit="1"/>
    </xf>
    <xf numFmtId="43" fontId="14" fillId="2" borderId="17" xfId="20" applyFont="1" applyFill="1" applyBorder="1" applyAlignment="1">
      <alignment horizontal="right" vertical="center" shrinkToFit="1"/>
    </xf>
    <xf numFmtId="0" fontId="15" fillId="3" borderId="24" xfId="18" applyFont="1" applyFill="1" applyBorder="1" applyAlignment="1">
      <alignment horizontal="center" vertical="center" wrapText="1"/>
    </xf>
    <xf numFmtId="0" fontId="15" fillId="3" borderId="25" xfId="18" applyFont="1" applyFill="1" applyBorder="1" applyAlignment="1">
      <alignment horizontal="center" vertical="center" wrapText="1"/>
    </xf>
    <xf numFmtId="0" fontId="15" fillId="3" borderId="38" xfId="18" applyFont="1" applyFill="1" applyBorder="1" applyAlignment="1">
      <alignment horizontal="center" vertical="center" wrapText="1"/>
    </xf>
    <xf numFmtId="43" fontId="15" fillId="3" borderId="39" xfId="20" applyFont="1" applyFill="1" applyBorder="1" applyAlignment="1">
      <alignment horizontal="right" vertical="center"/>
    </xf>
    <xf numFmtId="10" fontId="15" fillId="3" borderId="25" xfId="18" applyNumberFormat="1" applyFont="1" applyFill="1" applyBorder="1" applyAlignment="1">
      <alignment horizontal="center" vertical="center" wrapText="1"/>
    </xf>
    <xf numFmtId="0" fontId="15" fillId="3" borderId="0" xfId="18" applyFont="1" applyFill="1" applyAlignment="1">
      <alignment horizontal="center" vertical="center" wrapText="1"/>
    </xf>
    <xf numFmtId="44" fontId="10" fillId="0" borderId="0" xfId="31" applyFont="1"/>
    <xf numFmtId="0" fontId="10" fillId="0" borderId="0" xfId="18" applyFont="1"/>
    <xf numFmtId="10" fontId="10" fillId="0" borderId="0" xfId="18" applyNumberFormat="1" applyFont="1"/>
    <xf numFmtId="0" fontId="8" fillId="2" borderId="0" xfId="18" applyFont="1" applyFill="1" applyAlignment="1">
      <alignment horizontal="center" vertical="center"/>
    </xf>
    <xf numFmtId="0" fontId="8" fillId="2" borderId="0" xfId="18" applyFont="1" applyFill="1" applyAlignment="1">
      <alignment horizontal="center" vertical="top"/>
    </xf>
    <xf numFmtId="0" fontId="8" fillId="2" borderId="0" xfId="18" applyFont="1" applyFill="1" applyAlignment="1">
      <alignment horizontal="right" vertical="top"/>
    </xf>
    <xf numFmtId="0" fontId="8" fillId="2" borderId="0" xfId="18" applyFont="1" applyFill="1" applyAlignment="1">
      <alignment vertical="top"/>
    </xf>
    <xf numFmtId="0" fontId="8" fillId="2" borderId="7" xfId="18" applyFont="1" applyFill="1" applyBorder="1" applyAlignment="1">
      <alignment horizontal="left" vertical="top"/>
    </xf>
  </cellXfs>
  <cellStyles count="35">
    <cellStyle name="Moeda 2" xfId="15" xr:uid="{97591310-B3EB-473F-B758-EDE10BEF5D58}"/>
    <cellStyle name="Moeda 2 2" xfId="31" xr:uid="{43C93017-C667-4143-91BE-FA5CB3A96B73}"/>
    <cellStyle name="Moeda 3" xfId="26" xr:uid="{5CDB2B58-CE4B-4FB2-B663-2EAAF5BB4979}"/>
    <cellStyle name="Moeda 4" xfId="29" xr:uid="{FB6D7F89-5AC8-4B8C-AF5C-4BD360148D24}"/>
    <cellStyle name="Normal" xfId="0" builtinId="0"/>
    <cellStyle name="Normal 2" xfId="1" xr:uid="{204BF052-2A07-4CBF-AD92-138E3DAE3260}"/>
    <cellStyle name="Normal 2 2" xfId="2" xr:uid="{A745A24A-D40B-4FA7-A57E-311D500D2F57}"/>
    <cellStyle name="Normal 2 3" xfId="30" xr:uid="{5C75659D-91A3-46D8-9D26-239EF1493D18}"/>
    <cellStyle name="Normal 2 3 2" xfId="13" xr:uid="{9E5E5A49-88A6-4D30-84F2-ABF56D6F7D4E}"/>
    <cellStyle name="Normal 3" xfId="8" xr:uid="{B43A7769-03B3-4EC7-BB09-3A4D08260946}"/>
    <cellStyle name="Normal 3 2" xfId="34" xr:uid="{460EF771-3520-4CBE-A00A-105E396708EE}"/>
    <cellStyle name="Normal 3 3" xfId="18" xr:uid="{C5410D75-E258-4439-9682-57BE2E2B9DF5}"/>
    <cellStyle name="Normal 3 3 2" xfId="21" xr:uid="{CC25578F-C84F-4539-84F4-C740FF4E9295}"/>
    <cellStyle name="Normal 4" xfId="10" xr:uid="{517A9F8C-9865-47DE-A938-4BFDCCA0BDED}"/>
    <cellStyle name="Normal 4 2" xfId="19" xr:uid="{76B9AA3F-CFF7-4739-AAF2-1AD5E3BEDE96}"/>
    <cellStyle name="Normal 4 2 2" xfId="23" xr:uid="{DE93261F-820B-47C2-8C69-31C48D9E619E}"/>
    <cellStyle name="Normal 4 3" xfId="14" xr:uid="{1E628FB7-C9D4-4737-BFAA-91FF0FDD0F01}"/>
    <cellStyle name="Normal 5" xfId="11" xr:uid="{3E3AF855-B393-4A81-A254-EBB76C3DABFC}"/>
    <cellStyle name="Normal 5 2" xfId="24" xr:uid="{E139BB85-EDA7-4F01-8130-7C024D0B5603}"/>
    <cellStyle name="Normal 6" xfId="17" xr:uid="{BF2B0B67-D567-4CFF-B723-012A9D2C45FB}"/>
    <cellStyle name="Normal 7" xfId="25" xr:uid="{C94627E7-D9F6-4ADD-93F3-297CC58D7D07}"/>
    <cellStyle name="Normal 8" xfId="27" xr:uid="{31C89091-D8D6-4D9C-8919-D57667B8AD85}"/>
    <cellStyle name="Normal 9" xfId="32" xr:uid="{802FC6CA-9743-4D61-929E-0D1F6348F5D6}"/>
    <cellStyle name="Porcentagem" xfId="7" builtinId="5"/>
    <cellStyle name="Porcentagem 2" xfId="4" xr:uid="{6AD9715E-4AFB-48D7-98D6-EFDBEF94EBD1}"/>
    <cellStyle name="Porcentagem 3" xfId="5" xr:uid="{C1C3FB93-F6D7-40BB-9DDE-605C73947460}"/>
    <cellStyle name="Porcentagem 4" xfId="16" xr:uid="{A12DDBF4-6344-4D46-A7A5-4310275A96E2}"/>
    <cellStyle name="Separador de milhares 4" xfId="3" xr:uid="{6A0D8946-B189-490D-8C7A-E29695CA90C8}"/>
    <cellStyle name="Vírgula" xfId="6" builtinId="3"/>
    <cellStyle name="Vírgula 2" xfId="9" xr:uid="{589CA557-A0EA-45C0-B9DF-A1153977FFCA}"/>
    <cellStyle name="Vírgula 2 2" xfId="20" xr:uid="{197695BA-6EF9-4BB4-B4BA-ACD4DC334E97}"/>
    <cellStyle name="Vírgula 2 3" xfId="22" xr:uid="{0EEFCAC6-DF07-4362-A7F2-18B71EF39D12}"/>
    <cellStyle name="Vírgula 3" xfId="28" xr:uid="{92EBF181-8E34-4E54-AFEC-9AD84F3348E9}"/>
    <cellStyle name="Vírgula 4" xfId="12" xr:uid="{7D20224F-2294-47C0-AA47-14E7B3C8E1E0}"/>
    <cellStyle name="Vírgula 5" xfId="33" xr:uid="{ADD9C7AD-1C10-49D7-B2A9-E1F013DC2511}"/>
  </cellStyles>
  <dxfs count="15"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00B050"/>
      </font>
    </dxf>
    <dxf>
      <font>
        <color rgb="FFFA9B4C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A9B4C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739773</xdr:colOff>
      <xdr:row>1</xdr:row>
      <xdr:rowOff>43543</xdr:rowOff>
    </xdr:from>
    <xdr:to>
      <xdr:col>7</xdr:col>
      <xdr:colOff>1648730</xdr:colOff>
      <xdr:row>5</xdr:row>
      <xdr:rowOff>152325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7468DD-BFEC-4059-99C0-69B48B77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20094" y="206829"/>
          <a:ext cx="908957" cy="9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669483</xdr:colOff>
      <xdr:row>0</xdr:row>
      <xdr:rowOff>150260</xdr:rowOff>
    </xdr:from>
    <xdr:to>
      <xdr:col>3</xdr:col>
      <xdr:colOff>1587987</xdr:colOff>
      <xdr:row>5</xdr:row>
      <xdr:rowOff>68967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9F3F29-C3E9-4107-8646-E4A1A18F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4033" y="150260"/>
          <a:ext cx="918504" cy="728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263524</xdr:colOff>
      <xdr:row>1</xdr:row>
      <xdr:rowOff>29935</xdr:rowOff>
    </xdr:from>
    <xdr:to>
      <xdr:col>18</xdr:col>
      <xdr:colOff>356053</xdr:colOff>
      <xdr:row>5</xdr:row>
      <xdr:rowOff>138717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3203" y="193221"/>
          <a:ext cx="908957" cy="9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920493</xdr:colOff>
      <xdr:row>1</xdr:row>
      <xdr:rowOff>44985</xdr:rowOff>
    </xdr:from>
    <xdr:to>
      <xdr:col>15</xdr:col>
      <xdr:colOff>895509</xdr:colOff>
      <xdr:row>5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B763A-DC3F-42ED-A203-EF439C1C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0868" y="254535"/>
          <a:ext cx="1051341" cy="100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372999</xdr:colOff>
      <xdr:row>0</xdr:row>
      <xdr:rowOff>39516</xdr:rowOff>
    </xdr:from>
    <xdr:ext cx="828547" cy="629412"/>
    <xdr:pic>
      <xdr:nvPicPr>
        <xdr:cNvPr id="2" name="image1.jpeg">
          <a:extLst>
            <a:ext uri="{FF2B5EF4-FFF2-40B4-BE49-F238E27FC236}">
              <a16:creationId xmlns:a16="http://schemas.microsoft.com/office/drawing/2014/main" id="{F1723A75-7245-46FC-9513-8B9F88A0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999" y="39516"/>
          <a:ext cx="828547" cy="62941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106642</xdr:colOff>
      <xdr:row>0</xdr:row>
      <xdr:rowOff>89647</xdr:rowOff>
    </xdr:from>
    <xdr:to>
      <xdr:col>7</xdr:col>
      <xdr:colOff>1021682</xdr:colOff>
      <xdr:row>4</xdr:row>
      <xdr:rowOff>17879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04DE3-D0F8-400F-8AA8-62E6003E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7217" y="89647"/>
          <a:ext cx="915040" cy="728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emerson/Meus%20documentos/Planilha/Cron%20Basico%20e%20H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Gerencia%20Obra\DNER\Ic&#243;\Pato%20BR%20116%20Ic&#243;%20para%20licitaca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BRA/AppData/Local/Microsoft/Windows/INetCache/Content.Outlook/1H6OGOLK/Planejado%20x%20Realizado%20-%20SES%20PRAZERES%202%20(9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OBRA/AppData/Local/Microsoft/Windows/INetCache/Content.Outlook/XX3DVW86/PRZ/Acompanhamento%20e%20Planejamento/Relat&#243;rios%20de%20Custo/03.%20EAPMETAFSICA-SES%20PRAZERES_VER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ugusta\Atp\Documents%20and%20Settings\Renato\Desktop\Pre&#231;os%20Revisados-OAE-SEPLANE-(25-11-04)-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:/Comercial/EXCEL/ARQUIVOS/0901_1000/TESTE.xls" TargetMode="External"/></Relationships>
</file>

<file path=xl/externalLinks/_rels/externalLink7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S:\SEMINFRA\DIROB\6%20-%20FISCAIS\LANA\Nova%20EAP\Novas%20EAPS\Atuliza&#231;&#227;o%20dos%20Aditivos%20e%20BM%20enviados%20por%20DIROB\Ultimos%20Bm&#180;s%20Pagos\Rodovia%20dos%20Trabalhadores\BM%2005%20do%201&#176;%20Adt%20-%20Constru&#231;&#227;o%20da%20Rodovia%20Conselheiro%20Carlos%20Pinna%20de%20Assis.xlsx" TargetMode="External"/><Relationship Id="rId2" Type="http://schemas.microsoft.com/office/2019/04/relationships/externalLinkLongPath" Target="/SEMINFRA/DIROB/6%20-%20FISCAIS/LANA/Nova%20EAP/Novas%20EAPS/Atuliza&#231;&#227;o%20dos%20Aditivos%20e%20BM%20enviados%20por%20DIROB/Ultimos%20Bm&#180;s%20Pagos/Rodovia%20dos%20Trabalhadores/BM%2005%20do%201&#176;%20Adt%20-%20Constru&#231;&#227;o%20da%20Rodovia%20Conselheiro%20Carlos%20Pinna%20de%20Assis.xlsx?323FAD53" TargetMode="External"/><Relationship Id="rId1" Type="http://schemas.openxmlformats.org/officeDocument/2006/relationships/externalLinkPath" Target="file:///\\323FAD53\BM%2005%20do%201&#176;%20Adt%20-%20Constru&#231;&#227;o%20da%20Rodovia%20Conselheiro%20Carlos%20Pinna%20de%20As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 Bas 2.10"/>
      <sheetName val="Plan2.7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por serv princ"/>
      <sheetName val="Orçamento"/>
      <sheetName val="PATO"/>
      <sheetName val="Transp basc 5m3"/>
      <sheetName val="Transp carroceria"/>
      <sheetName val="Transp carroceria com"/>
      <sheetName val="Transp Mat. para Remendos"/>
      <sheetName val="Consumo e Tansp. mat. bet."/>
      <sheetName val="CRONOGRAMA"/>
      <sheetName val="Gráfico"/>
      <sheetName val="02.510.01"/>
      <sheetName val="02.511.01"/>
      <sheetName val="02.530.01"/>
      <sheetName val="03.329.00"/>
      <sheetName val="08.404.00"/>
      <sheetName val="E412"/>
      <sheetName val="Simulação"/>
      <sheetName val="dez00"/>
      <sheetName val="Mão de Obra"/>
      <sheetName val="Material"/>
      <sheetName val="EQUIPAMENTO"/>
      <sheetName val="Consumo e Tansp. mat. bet.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F1">
            <v>36861</v>
          </cell>
        </row>
        <row r="3">
          <cell r="A3" t="str">
            <v>1 A 01 170 02</v>
          </cell>
          <cell r="B3" t="str">
            <v>Areia extraída com trator e carregadeira</v>
          </cell>
          <cell r="C3" t="str">
            <v>m3</v>
          </cell>
          <cell r="D3">
            <v>2.63</v>
          </cell>
          <cell r="E3">
            <v>0</v>
          </cell>
          <cell r="F3">
            <v>2.63</v>
          </cell>
        </row>
        <row r="4">
          <cell r="A4" t="str">
            <v>3 S 01 200 00</v>
          </cell>
          <cell r="B4" t="str">
            <v>Escavação e carga mat. jazida (consv)</v>
          </cell>
          <cell r="C4" t="str">
            <v>m3</v>
          </cell>
          <cell r="D4">
            <v>3.59</v>
          </cell>
          <cell r="E4">
            <v>1.17</v>
          </cell>
          <cell r="F4">
            <v>4.76</v>
          </cell>
        </row>
        <row r="5">
          <cell r="A5" t="str">
            <v>3 S 01 401 00</v>
          </cell>
          <cell r="B5" t="str">
            <v>Recomposição de revestimento primário</v>
          </cell>
          <cell r="C5" t="str">
            <v>m3</v>
          </cell>
          <cell r="D5">
            <v>5.37</v>
          </cell>
          <cell r="E5">
            <v>1.75</v>
          </cell>
          <cell r="F5">
            <v>7.12</v>
          </cell>
        </row>
        <row r="6">
          <cell r="A6" t="str">
            <v>3 S 01 930 00</v>
          </cell>
          <cell r="B6" t="str">
            <v>Regularização mecânica da faixa de domínio</v>
          </cell>
          <cell r="C6" t="str">
            <v>m2</v>
          </cell>
          <cell r="D6">
            <v>0.08</v>
          </cell>
          <cell r="E6">
            <v>0.02</v>
          </cell>
          <cell r="F6">
            <v>0.11</v>
          </cell>
        </row>
        <row r="7">
          <cell r="A7" t="str">
            <v>3 S 02 200 00</v>
          </cell>
          <cell r="B7" t="str">
            <v>Solo p/ base de remendo profundo</v>
          </cell>
          <cell r="C7" t="str">
            <v>m3</v>
          </cell>
          <cell r="D7">
            <v>4.13</v>
          </cell>
          <cell r="E7">
            <v>1.34</v>
          </cell>
          <cell r="F7">
            <v>5.48</v>
          </cell>
        </row>
        <row r="8">
          <cell r="A8" t="str">
            <v>3 S 02 200 01</v>
          </cell>
          <cell r="B8" t="str">
            <v>Recomposição de camada granular do pavimento</v>
          </cell>
          <cell r="C8" t="str">
            <v>m3</v>
          </cell>
          <cell r="D8">
            <v>6.28</v>
          </cell>
          <cell r="E8">
            <v>2.04</v>
          </cell>
          <cell r="F8">
            <v>8.33</v>
          </cell>
        </row>
        <row r="9">
          <cell r="A9" t="str">
            <v>3 S 02 220 00</v>
          </cell>
          <cell r="B9" t="str">
            <v>Solo brita p/ base de rem. profundo</v>
          </cell>
          <cell r="C9" t="str">
            <v>m3</v>
          </cell>
          <cell r="D9">
            <v>9.9600000000000009</v>
          </cell>
          <cell r="E9">
            <v>3.24</v>
          </cell>
          <cell r="F9">
            <v>13.21</v>
          </cell>
        </row>
        <row r="10">
          <cell r="A10" t="str">
            <v>3 S 02 230 00</v>
          </cell>
          <cell r="B10" t="str">
            <v>Brita para base de remendo profundo</v>
          </cell>
          <cell r="C10" t="str">
            <v>m3</v>
          </cell>
          <cell r="D10">
            <v>22.27</v>
          </cell>
          <cell r="E10">
            <v>7.24</v>
          </cell>
          <cell r="F10">
            <v>29.51</v>
          </cell>
        </row>
        <row r="11">
          <cell r="A11" t="str">
            <v>3 S 02 241 00</v>
          </cell>
          <cell r="B11" t="str">
            <v>Solo melhorado c/ cimento p/ base rem. profundo</v>
          </cell>
          <cell r="C11" t="str">
            <v>m3</v>
          </cell>
          <cell r="D11">
            <v>16.32</v>
          </cell>
          <cell r="E11">
            <v>5.31</v>
          </cell>
          <cell r="F11">
            <v>21.64</v>
          </cell>
        </row>
        <row r="12">
          <cell r="A12" t="str">
            <v>3 S 02 300 00</v>
          </cell>
          <cell r="B12" t="str">
            <v>Imprimação</v>
          </cell>
          <cell r="C12" t="str">
            <v>m2</v>
          </cell>
          <cell r="D12">
            <v>0.06</v>
          </cell>
          <cell r="E12">
            <v>0.02</v>
          </cell>
          <cell r="F12">
            <v>0.09</v>
          </cell>
        </row>
        <row r="13">
          <cell r="A13" t="str">
            <v>3 S 02 400 00</v>
          </cell>
          <cell r="B13" t="str">
            <v>Pintura de ligação</v>
          </cell>
          <cell r="C13" t="str">
            <v>m2</v>
          </cell>
          <cell r="D13">
            <v>0.04</v>
          </cell>
          <cell r="E13">
            <v>0.01</v>
          </cell>
          <cell r="F13">
            <v>0.06</v>
          </cell>
        </row>
        <row r="14">
          <cell r="A14" t="str">
            <v>3 S 02 500 00</v>
          </cell>
          <cell r="B14" t="str">
            <v>Capa selante com pedrisco</v>
          </cell>
          <cell r="C14" t="str">
            <v>m2</v>
          </cell>
          <cell r="D14">
            <v>0.19</v>
          </cell>
          <cell r="E14">
            <v>0.06</v>
          </cell>
          <cell r="F14">
            <v>0.25</v>
          </cell>
        </row>
        <row r="15">
          <cell r="A15" t="str">
            <v>3 S 02 500 01</v>
          </cell>
          <cell r="B15" t="str">
            <v>Capa selante com areia</v>
          </cell>
          <cell r="C15" t="str">
            <v>m2</v>
          </cell>
          <cell r="D15">
            <v>0.1</v>
          </cell>
          <cell r="E15">
            <v>0.03</v>
          </cell>
          <cell r="F15">
            <v>0.13</v>
          </cell>
        </row>
        <row r="16">
          <cell r="A16" t="str">
            <v>3 S 02 500 02</v>
          </cell>
          <cell r="B16" t="str">
            <v>Tratamento superficial simples com CAP</v>
          </cell>
          <cell r="C16" t="str">
            <v>m2</v>
          </cell>
          <cell r="D16">
            <v>0.27</v>
          </cell>
          <cell r="E16">
            <v>0.08</v>
          </cell>
          <cell r="F16">
            <v>0.36</v>
          </cell>
        </row>
        <row r="17">
          <cell r="A17" t="str">
            <v>3 S 02 500 03</v>
          </cell>
          <cell r="B17" t="str">
            <v>Tratamento superficial simples com emulsão</v>
          </cell>
          <cell r="C17" t="str">
            <v>m2</v>
          </cell>
          <cell r="D17">
            <v>0.25</v>
          </cell>
          <cell r="E17">
            <v>0.08</v>
          </cell>
          <cell r="F17">
            <v>0.34</v>
          </cell>
        </row>
        <row r="18">
          <cell r="A18" t="str">
            <v>3 S 02 500 04</v>
          </cell>
          <cell r="B18" t="str">
            <v>Tratamento superficial simples c/ banho diluído</v>
          </cell>
          <cell r="C18" t="str">
            <v>m2</v>
          </cell>
          <cell r="D18">
            <v>0.28000000000000003</v>
          </cell>
          <cell r="E18">
            <v>0.09</v>
          </cell>
          <cell r="F18">
            <v>0.38</v>
          </cell>
        </row>
        <row r="19">
          <cell r="A19" t="str">
            <v>3 S 02 501 00</v>
          </cell>
          <cell r="B19" t="str">
            <v>Tratamento superficial duplo c/ CAP</v>
          </cell>
          <cell r="C19" t="str">
            <v>m2</v>
          </cell>
          <cell r="D19">
            <v>0.81</v>
          </cell>
          <cell r="E19">
            <v>0.26</v>
          </cell>
          <cell r="F19">
            <v>1.08</v>
          </cell>
        </row>
        <row r="20">
          <cell r="A20" t="str">
            <v>3 S 02 501 01</v>
          </cell>
          <cell r="B20" t="str">
            <v>Tratamento superficial duplo com emulsão</v>
          </cell>
          <cell r="C20" t="str">
            <v>m2</v>
          </cell>
          <cell r="D20">
            <v>0.81</v>
          </cell>
          <cell r="E20">
            <v>0.26</v>
          </cell>
          <cell r="F20">
            <v>1.07</v>
          </cell>
        </row>
        <row r="21">
          <cell r="A21" t="str">
            <v>3 S 02 501 02</v>
          </cell>
          <cell r="B21" t="str">
            <v>Tratamento superficial duplo com banho diluído</v>
          </cell>
          <cell r="C21" t="str">
            <v>m2</v>
          </cell>
          <cell r="D21">
            <v>0.87</v>
          </cell>
          <cell r="E21">
            <v>0.28000000000000003</v>
          </cell>
          <cell r="F21">
            <v>1.1599999999999999</v>
          </cell>
        </row>
        <row r="22">
          <cell r="A22" t="str">
            <v>3 S 02 502 00</v>
          </cell>
          <cell r="B22" t="str">
            <v>Tratamento superficial triplo com CAP</v>
          </cell>
          <cell r="C22" t="str">
            <v>m2</v>
          </cell>
          <cell r="D22">
            <v>1.1499999999999999</v>
          </cell>
          <cell r="E22">
            <v>0.37</v>
          </cell>
          <cell r="F22">
            <v>1.53</v>
          </cell>
        </row>
        <row r="23">
          <cell r="A23" t="str">
            <v>3 S 02 502 01</v>
          </cell>
          <cell r="B23" t="str">
            <v>Tratamento superficial triplo com emulsão</v>
          </cell>
          <cell r="C23" t="str">
            <v>m2</v>
          </cell>
          <cell r="D23">
            <v>1.17</v>
          </cell>
          <cell r="E23">
            <v>0.38</v>
          </cell>
          <cell r="F23">
            <v>1.55</v>
          </cell>
        </row>
        <row r="24">
          <cell r="A24" t="str">
            <v>3 S 02 502 02</v>
          </cell>
          <cell r="B24" t="str">
            <v>Tratamento superficial triplo com banho diluído</v>
          </cell>
          <cell r="C24" t="str">
            <v>m2</v>
          </cell>
          <cell r="D24">
            <v>1.24</v>
          </cell>
          <cell r="E24">
            <v>0.4</v>
          </cell>
          <cell r="F24">
            <v>1.65</v>
          </cell>
        </row>
        <row r="25">
          <cell r="A25" t="str">
            <v>3 S 02 510 00</v>
          </cell>
          <cell r="B25" t="str">
            <v>Lama asfáltica fina (granulometrias I e II )</v>
          </cell>
          <cell r="C25" t="str">
            <v>m2</v>
          </cell>
          <cell r="D25">
            <v>0.28000000000000003</v>
          </cell>
          <cell r="E25">
            <v>0.09</v>
          </cell>
          <cell r="F25">
            <v>0.37</v>
          </cell>
        </row>
        <row r="26">
          <cell r="A26" t="str">
            <v>3 S 02 510 01</v>
          </cell>
          <cell r="B26" t="str">
            <v>Lama asfáltica grossa (granulometrias III e IV)</v>
          </cell>
          <cell r="C26" t="str">
            <v>m2</v>
          </cell>
          <cell r="D26">
            <v>0.5</v>
          </cell>
          <cell r="E26">
            <v>0.16</v>
          </cell>
          <cell r="F26">
            <v>0.67</v>
          </cell>
        </row>
        <row r="27">
          <cell r="A27" t="str">
            <v>3 S 02 520 00</v>
          </cell>
          <cell r="B27" t="str">
            <v>Mistura areia-asfalto em betoneira</v>
          </cell>
          <cell r="C27" t="str">
            <v>m3</v>
          </cell>
          <cell r="D27">
            <v>14.69</v>
          </cell>
          <cell r="E27">
            <v>4.78</v>
          </cell>
          <cell r="F27">
            <v>19.47</v>
          </cell>
        </row>
        <row r="28">
          <cell r="A28" t="str">
            <v>3 S 02 520 01</v>
          </cell>
          <cell r="B28" t="str">
            <v>Mistura areia-asfalto usinada a frio</v>
          </cell>
          <cell r="C28" t="str">
            <v>m3</v>
          </cell>
          <cell r="D28">
            <v>9.6</v>
          </cell>
          <cell r="E28">
            <v>3.12</v>
          </cell>
          <cell r="F28">
            <v>12.72</v>
          </cell>
        </row>
        <row r="29">
          <cell r="A29" t="str">
            <v>3 S 02 520 02</v>
          </cell>
          <cell r="B29" t="str">
            <v>Rec.do rev. com areia asfalto a frio</v>
          </cell>
          <cell r="C29" t="str">
            <v>m3</v>
          </cell>
          <cell r="D29">
            <v>11.17</v>
          </cell>
          <cell r="E29">
            <v>3.63</v>
          </cell>
          <cell r="F29">
            <v>14.8</v>
          </cell>
        </row>
        <row r="30">
          <cell r="A30" t="str">
            <v>3 S 02 521 00</v>
          </cell>
          <cell r="B30" t="str">
            <v>Mistura areia-asfalto usinada a quente</v>
          </cell>
          <cell r="C30" t="str">
            <v>m3</v>
          </cell>
          <cell r="D30">
            <v>27.74</v>
          </cell>
          <cell r="E30">
            <v>9.02</v>
          </cell>
          <cell r="F30">
            <v>36.770000000000003</v>
          </cell>
        </row>
        <row r="31">
          <cell r="A31" t="str">
            <v>3 S 02 521 01</v>
          </cell>
          <cell r="B31" t="str">
            <v>Rec. do rev. com areia asfalto a quente</v>
          </cell>
          <cell r="C31" t="str">
            <v>m3</v>
          </cell>
          <cell r="D31">
            <v>7.67</v>
          </cell>
          <cell r="E31">
            <v>2.4900000000000002</v>
          </cell>
          <cell r="F31">
            <v>10.16</v>
          </cell>
        </row>
        <row r="32">
          <cell r="A32" t="str">
            <v>3 S 02 530 00</v>
          </cell>
          <cell r="B32" t="str">
            <v>Mistura betuminosa em betoneira</v>
          </cell>
          <cell r="C32" t="str">
            <v>m3</v>
          </cell>
          <cell r="D32">
            <v>21.48</v>
          </cell>
          <cell r="E32">
            <v>6.99</v>
          </cell>
          <cell r="F32">
            <v>28.47</v>
          </cell>
        </row>
        <row r="33">
          <cell r="A33" t="str">
            <v>3 S 02 530 01</v>
          </cell>
          <cell r="B33" t="str">
            <v>Mistura betuminosa usinada a frio</v>
          </cell>
          <cell r="C33" t="str">
            <v>m3</v>
          </cell>
          <cell r="D33">
            <v>20.29</v>
          </cell>
          <cell r="E33">
            <v>6.6</v>
          </cell>
          <cell r="F33">
            <v>26.89</v>
          </cell>
        </row>
        <row r="34">
          <cell r="A34" t="str">
            <v>3 S 02 530 02</v>
          </cell>
          <cell r="B34" t="str">
            <v>Rec.do rev. com mistura betuminosa a frio</v>
          </cell>
          <cell r="C34" t="str">
            <v>m3</v>
          </cell>
          <cell r="D34">
            <v>12.63</v>
          </cell>
          <cell r="E34">
            <v>4.1100000000000003</v>
          </cell>
          <cell r="F34">
            <v>16.739999999999998</v>
          </cell>
        </row>
        <row r="35">
          <cell r="A35" t="str">
            <v>3 S 02 540 00</v>
          </cell>
          <cell r="B35" t="str">
            <v>Mistura betuminosa usinada a quente</v>
          </cell>
          <cell r="C35" t="str">
            <v>m3</v>
          </cell>
          <cell r="D35">
            <v>42.89</v>
          </cell>
          <cell r="E35">
            <v>13.96</v>
          </cell>
          <cell r="F35">
            <v>56.85</v>
          </cell>
        </row>
        <row r="36">
          <cell r="A36" t="str">
            <v>3 S 02 540 01</v>
          </cell>
          <cell r="B36" t="str">
            <v>Rec.do rev.com mistura betuminosa a quente</v>
          </cell>
          <cell r="C36" t="str">
            <v>m3</v>
          </cell>
          <cell r="D36">
            <v>8.8699999999999992</v>
          </cell>
          <cell r="E36">
            <v>2.88</v>
          </cell>
          <cell r="F36">
            <v>11.76</v>
          </cell>
        </row>
        <row r="37">
          <cell r="A37" t="str">
            <v>3 S 02 601 00</v>
          </cell>
          <cell r="B37" t="str">
            <v>Recomposição de placa de concreto</v>
          </cell>
          <cell r="C37" t="str">
            <v>m3</v>
          </cell>
          <cell r="D37">
            <v>102.55</v>
          </cell>
          <cell r="E37">
            <v>33.380000000000003</v>
          </cell>
          <cell r="F37">
            <v>135.94</v>
          </cell>
        </row>
        <row r="38">
          <cell r="A38" t="str">
            <v>3 S 02 900 00</v>
          </cell>
          <cell r="B38" t="str">
            <v>Remoção mecanizada de revestimento betuminoso</v>
          </cell>
          <cell r="C38" t="str">
            <v>m3</v>
          </cell>
          <cell r="D38">
            <v>2.95</v>
          </cell>
          <cell r="E38">
            <v>0.96</v>
          </cell>
          <cell r="F38">
            <v>3.92</v>
          </cell>
        </row>
        <row r="39">
          <cell r="A39" t="str">
            <v>3 S 02 901 00</v>
          </cell>
          <cell r="B39" t="str">
            <v>Remoção manual de revestimento betuminoso</v>
          </cell>
          <cell r="C39" t="str">
            <v>m3</v>
          </cell>
          <cell r="D39">
            <v>47.07</v>
          </cell>
          <cell r="E39">
            <v>15.32</v>
          </cell>
          <cell r="F39">
            <v>62.39</v>
          </cell>
        </row>
        <row r="40">
          <cell r="A40" t="str">
            <v>3 S 02 902 00</v>
          </cell>
          <cell r="B40" t="str">
            <v>Remoção mecanizada da camada granular do pavimento</v>
          </cell>
          <cell r="C40" t="str">
            <v>m3</v>
          </cell>
          <cell r="D40">
            <v>1.9</v>
          </cell>
          <cell r="E40">
            <v>0.61</v>
          </cell>
          <cell r="F40">
            <v>2.52</v>
          </cell>
        </row>
        <row r="41">
          <cell r="A41" t="str">
            <v>3 S 02 903 00</v>
          </cell>
          <cell r="B41" t="str">
            <v>Remoção manual da camada granular do pavimento</v>
          </cell>
          <cell r="C41" t="str">
            <v>m3</v>
          </cell>
          <cell r="D41">
            <v>25.09</v>
          </cell>
          <cell r="E41">
            <v>8.16</v>
          </cell>
          <cell r="F41">
            <v>33.25</v>
          </cell>
        </row>
        <row r="42">
          <cell r="A42" t="str">
            <v>3 S 02 999 00</v>
          </cell>
          <cell r="B42" t="str">
            <v>Peneiramento</v>
          </cell>
          <cell r="C42" t="str">
            <v>m3</v>
          </cell>
          <cell r="D42">
            <v>3.03</v>
          </cell>
          <cell r="E42">
            <v>0.98</v>
          </cell>
          <cell r="F42">
            <v>4.0199999999999996</v>
          </cell>
        </row>
        <row r="43">
          <cell r="A43" t="str">
            <v>3 S 03 310 00</v>
          </cell>
          <cell r="B43" t="str">
            <v>Concreto ciclópico</v>
          </cell>
          <cell r="C43" t="str">
            <v>m3</v>
          </cell>
          <cell r="D43">
            <v>78.209999999999994</v>
          </cell>
          <cell r="E43">
            <v>25.45</v>
          </cell>
          <cell r="F43">
            <v>103.67</v>
          </cell>
        </row>
        <row r="44">
          <cell r="A44" t="str">
            <v>3 S 03 329 00</v>
          </cell>
          <cell r="B44" t="str">
            <v>Concreto de cimento (confecção e lançamento)</v>
          </cell>
          <cell r="C44" t="str">
            <v>m3</v>
          </cell>
          <cell r="D44">
            <v>96.73</v>
          </cell>
          <cell r="E44">
            <v>31.48</v>
          </cell>
          <cell r="F44">
            <v>128.21</v>
          </cell>
        </row>
        <row r="45">
          <cell r="A45" t="str">
            <v>3 S 03 329 01</v>
          </cell>
          <cell r="B45" t="str">
            <v>Concreto de cimento(confecção manual e lançamento)</v>
          </cell>
          <cell r="C45" t="str">
            <v>m3</v>
          </cell>
          <cell r="D45">
            <v>112.94</v>
          </cell>
          <cell r="E45">
            <v>36.76</v>
          </cell>
          <cell r="F45">
            <v>149.69999999999999</v>
          </cell>
        </row>
        <row r="46">
          <cell r="A46" t="str">
            <v>3 S 03 340 02</v>
          </cell>
          <cell r="B46" t="str">
            <v>Argamassa cimento areia 1-6</v>
          </cell>
          <cell r="C46" t="str">
            <v>m3</v>
          </cell>
          <cell r="D46">
            <v>81.86</v>
          </cell>
          <cell r="E46">
            <v>26.64</v>
          </cell>
          <cell r="F46">
            <v>108.51</v>
          </cell>
        </row>
        <row r="47">
          <cell r="A47" t="str">
            <v>3 S 03 340 03</v>
          </cell>
          <cell r="B47" t="str">
            <v>Argamassa cimento solo 1:10</v>
          </cell>
          <cell r="C47" t="str">
            <v>m3</v>
          </cell>
          <cell r="D47">
            <v>53.21</v>
          </cell>
          <cell r="E47">
            <v>17.32</v>
          </cell>
          <cell r="F47">
            <v>70.53</v>
          </cell>
        </row>
        <row r="48">
          <cell r="A48" t="str">
            <v>3 S 03 353 00</v>
          </cell>
          <cell r="B48" t="str">
            <v>Dobragem e colocação de armadura</v>
          </cell>
          <cell r="C48" t="str">
            <v>kg</v>
          </cell>
          <cell r="D48">
            <v>1.68</v>
          </cell>
          <cell r="E48">
            <v>0.54</v>
          </cell>
          <cell r="F48">
            <v>2.23</v>
          </cell>
        </row>
        <row r="49">
          <cell r="A49" t="str">
            <v>3 S 03 370 00</v>
          </cell>
          <cell r="B49" t="str">
            <v>Forma comum de madeira</v>
          </cell>
          <cell r="C49" t="str">
            <v>m2</v>
          </cell>
          <cell r="D49">
            <v>17.96</v>
          </cell>
          <cell r="E49">
            <v>5.84</v>
          </cell>
          <cell r="F49">
            <v>23.81</v>
          </cell>
        </row>
        <row r="50">
          <cell r="A50" t="str">
            <v>3 S 03 940 01</v>
          </cell>
          <cell r="B50" t="str">
            <v>Reaterro e compactação p/ bueiro</v>
          </cell>
          <cell r="C50" t="str">
            <v>m3</v>
          </cell>
          <cell r="D50">
            <v>6.99</v>
          </cell>
          <cell r="E50">
            <v>2.27</v>
          </cell>
          <cell r="F50">
            <v>9.26</v>
          </cell>
        </row>
        <row r="51">
          <cell r="A51" t="str">
            <v>3 S 03 940 02</v>
          </cell>
          <cell r="B51" t="str">
            <v>Reaterro apiloado</v>
          </cell>
          <cell r="C51" t="str">
            <v>m3</v>
          </cell>
          <cell r="D51">
            <v>4.46</v>
          </cell>
          <cell r="E51">
            <v>1.45</v>
          </cell>
          <cell r="F51">
            <v>5.92</v>
          </cell>
        </row>
        <row r="52">
          <cell r="A52" t="str">
            <v>3 S 03 950 00</v>
          </cell>
          <cell r="B52" t="str">
            <v>Limpeza de ponte</v>
          </cell>
          <cell r="C52" t="str">
            <v>m</v>
          </cell>
          <cell r="D52">
            <v>1.1299999999999999</v>
          </cell>
          <cell r="E52">
            <v>0.37</v>
          </cell>
          <cell r="F52">
            <v>1.5</v>
          </cell>
        </row>
        <row r="53">
          <cell r="A53" t="str">
            <v>3 S 04 000 00</v>
          </cell>
          <cell r="B53" t="str">
            <v>Escavação manual em material de 1a categoria</v>
          </cell>
          <cell r="C53" t="str">
            <v>m3</v>
          </cell>
          <cell r="D53">
            <v>8.07</v>
          </cell>
          <cell r="E53">
            <v>2.62</v>
          </cell>
          <cell r="F53">
            <v>10.7</v>
          </cell>
        </row>
        <row r="54">
          <cell r="A54" t="str">
            <v>3 S 04 000 01</v>
          </cell>
          <cell r="B54" t="str">
            <v>Escavação manual em material de 2a categoria</v>
          </cell>
          <cell r="C54" t="str">
            <v>m3</v>
          </cell>
          <cell r="D54">
            <v>10.76</v>
          </cell>
          <cell r="E54">
            <v>3.5</v>
          </cell>
          <cell r="F54">
            <v>14.26</v>
          </cell>
        </row>
        <row r="55">
          <cell r="A55" t="str">
            <v>3 S 04 001 00</v>
          </cell>
          <cell r="B55" t="str">
            <v>Escavação mecaniz. de vala em mater. de 1a cat.</v>
          </cell>
          <cell r="C55" t="str">
            <v>m3</v>
          </cell>
          <cell r="D55">
            <v>2.37</v>
          </cell>
          <cell r="E55">
            <v>0.77</v>
          </cell>
          <cell r="F55">
            <v>3.14</v>
          </cell>
        </row>
        <row r="56">
          <cell r="A56" t="str">
            <v>3 S 04 010 00</v>
          </cell>
          <cell r="B56" t="str">
            <v>Escavação mecaniz.de vala em material de 2a cat.</v>
          </cell>
          <cell r="C56" t="str">
            <v>m3</v>
          </cell>
          <cell r="D56">
            <v>2.96</v>
          </cell>
          <cell r="E56">
            <v>0.96</v>
          </cell>
          <cell r="F56">
            <v>3.93</v>
          </cell>
        </row>
        <row r="57">
          <cell r="A57" t="str">
            <v>3 S 04 020 00</v>
          </cell>
          <cell r="B57" t="str">
            <v>Escavação e carga de material de 3a cat. em valas</v>
          </cell>
          <cell r="C57" t="str">
            <v>m3</v>
          </cell>
          <cell r="D57">
            <v>22.81</v>
          </cell>
          <cell r="E57">
            <v>7.42</v>
          </cell>
          <cell r="F57">
            <v>30.24</v>
          </cell>
        </row>
        <row r="58">
          <cell r="A58" t="str">
            <v>3 S 04 300 16</v>
          </cell>
          <cell r="B58" t="str">
            <v>Bueiro met. chapa múltipla D=1,60m galv.</v>
          </cell>
          <cell r="C58" t="str">
            <v>m</v>
          </cell>
          <cell r="D58">
            <v>1077.76</v>
          </cell>
          <cell r="E58">
            <v>350.81</v>
          </cell>
          <cell r="F58">
            <v>1428.58</v>
          </cell>
        </row>
        <row r="59">
          <cell r="A59" t="str">
            <v>3 S 04 300 20</v>
          </cell>
          <cell r="B59" t="str">
            <v>Bueiro met. chapa múltipla D=2,00m galv.</v>
          </cell>
          <cell r="C59" t="str">
            <v>m</v>
          </cell>
          <cell r="D59">
            <v>1350.4</v>
          </cell>
          <cell r="E59">
            <v>439.55</v>
          </cell>
          <cell r="F59">
            <v>1789.96</v>
          </cell>
        </row>
        <row r="60">
          <cell r="A60" t="str">
            <v>3 S 04 301 16</v>
          </cell>
          <cell r="B60" t="str">
            <v>Bueiro met.chapas múlt. D=1,60 m rev. epoxy</v>
          </cell>
          <cell r="C60" t="str">
            <v>m</v>
          </cell>
          <cell r="D60">
            <v>1157.76</v>
          </cell>
          <cell r="E60">
            <v>376.85</v>
          </cell>
          <cell r="F60">
            <v>1534.62</v>
          </cell>
        </row>
        <row r="61">
          <cell r="A61" t="str">
            <v>3 S 04 301 20</v>
          </cell>
          <cell r="B61" t="str">
            <v>Bueiro met. chapas múlt. D=2,00 m rev. epoxy</v>
          </cell>
          <cell r="C61" t="str">
            <v>m</v>
          </cell>
          <cell r="D61">
            <v>1450.4</v>
          </cell>
          <cell r="E61">
            <v>472.1</v>
          </cell>
          <cell r="F61">
            <v>1922.51</v>
          </cell>
        </row>
        <row r="62">
          <cell r="A62" t="str">
            <v>3 S 04 310 16</v>
          </cell>
          <cell r="B62" t="str">
            <v>Bueiro met. s/interrupção tráf. D=1,60 m galv.</v>
          </cell>
          <cell r="C62" t="str">
            <v>m</v>
          </cell>
          <cell r="D62">
            <v>922.74</v>
          </cell>
          <cell r="E62">
            <v>300.35000000000002</v>
          </cell>
          <cell r="F62">
            <v>1223.0999999999999</v>
          </cell>
        </row>
        <row r="63">
          <cell r="A63" t="str">
            <v>3 S 04 310 20</v>
          </cell>
          <cell r="B63" t="str">
            <v>Bueiro met. s/interrupção tráf. D=2,00 m galv.</v>
          </cell>
          <cell r="C63" t="str">
            <v>m</v>
          </cell>
          <cell r="D63">
            <v>1146.29</v>
          </cell>
          <cell r="E63">
            <v>373.11</v>
          </cell>
          <cell r="F63">
            <v>1519.4</v>
          </cell>
        </row>
        <row r="64">
          <cell r="A64" t="str">
            <v>3 S 04 311 16</v>
          </cell>
          <cell r="B64" t="str">
            <v>Bueiro met.s/interrupção tráf. D=1,60 m rev. epoxy</v>
          </cell>
          <cell r="C64" t="str">
            <v>m</v>
          </cell>
          <cell r="D64">
            <v>1388.54</v>
          </cell>
          <cell r="E64">
            <v>451.97</v>
          </cell>
          <cell r="F64">
            <v>1840.52</v>
          </cell>
        </row>
        <row r="65">
          <cell r="A65" t="str">
            <v>3 S 04 311 20</v>
          </cell>
          <cell r="B65" t="str">
            <v>Bueiro met.s/interrupção tráf. D=2,00 m rev. epoxy</v>
          </cell>
          <cell r="C65" t="str">
            <v>m</v>
          </cell>
          <cell r="D65">
            <v>1227.29</v>
          </cell>
          <cell r="E65">
            <v>399.48</v>
          </cell>
          <cell r="F65">
            <v>1626.77</v>
          </cell>
        </row>
        <row r="66">
          <cell r="A66" t="str">
            <v>3 S 04 590 00</v>
          </cell>
          <cell r="B66" t="str">
            <v>Assentamento de dreno profundo</v>
          </cell>
          <cell r="C66" t="str">
            <v>m</v>
          </cell>
          <cell r="D66">
            <v>18.61</v>
          </cell>
          <cell r="E66">
            <v>6.06</v>
          </cell>
          <cell r="F66">
            <v>24.67</v>
          </cell>
        </row>
        <row r="67">
          <cell r="A67" t="str">
            <v>3 S 04 999 08</v>
          </cell>
          <cell r="B67" t="str">
            <v>Selo de argila apiloado com solo local</v>
          </cell>
          <cell r="C67" t="str">
            <v>m3</v>
          </cell>
          <cell r="D67">
            <v>4.46</v>
          </cell>
          <cell r="E67">
            <v>1.45</v>
          </cell>
          <cell r="F67">
            <v>5.92</v>
          </cell>
        </row>
        <row r="68">
          <cell r="A68" t="str">
            <v>3 S 05 000 00</v>
          </cell>
          <cell r="B68" t="str">
            <v>Enrocamento de pedra arrumada</v>
          </cell>
          <cell r="C68" t="str">
            <v>m3</v>
          </cell>
          <cell r="D68">
            <v>32.64</v>
          </cell>
          <cell r="E68">
            <v>10.62</v>
          </cell>
          <cell r="F68">
            <v>43.27</v>
          </cell>
        </row>
        <row r="69">
          <cell r="A69" t="str">
            <v>3 S 05 001 00</v>
          </cell>
          <cell r="B69" t="str">
            <v>Enrocamento de pedra jogada</v>
          </cell>
          <cell r="C69" t="str">
            <v>m3</v>
          </cell>
          <cell r="D69">
            <v>21.93</v>
          </cell>
          <cell r="E69">
            <v>7.13</v>
          </cell>
          <cell r="F69">
            <v>29.07</v>
          </cell>
        </row>
        <row r="70">
          <cell r="A70" t="str">
            <v>3 S 05 101 01</v>
          </cell>
          <cell r="B70" t="str">
            <v>Revestimento vegetal com mudas</v>
          </cell>
          <cell r="C70" t="str">
            <v>m2</v>
          </cell>
          <cell r="D70">
            <v>1.51</v>
          </cell>
          <cell r="E70">
            <v>0.49</v>
          </cell>
          <cell r="F70">
            <v>2.0099999999999998</v>
          </cell>
        </row>
        <row r="71">
          <cell r="A71" t="str">
            <v>3 S 05 101 02</v>
          </cell>
          <cell r="B71" t="str">
            <v>Revestimento vegetal com grama em leivas</v>
          </cell>
          <cell r="C71" t="str">
            <v>m2</v>
          </cell>
          <cell r="D71">
            <v>1.62</v>
          </cell>
          <cell r="E71">
            <v>0.53</v>
          </cell>
          <cell r="F71">
            <v>2.15</v>
          </cell>
        </row>
        <row r="72">
          <cell r="A72" t="str">
            <v>3 S 08 001 00</v>
          </cell>
          <cell r="B72" t="str">
            <v>Reconformação da plataforma</v>
          </cell>
          <cell r="C72" t="str">
            <v>ha</v>
          </cell>
          <cell r="D72">
            <v>55.22</v>
          </cell>
          <cell r="E72">
            <v>17.97</v>
          </cell>
          <cell r="F72">
            <v>73.19</v>
          </cell>
        </row>
        <row r="73">
          <cell r="A73" t="str">
            <v>3 S 08 100 00</v>
          </cell>
          <cell r="B73" t="str">
            <v>Tapa buraco</v>
          </cell>
          <cell r="C73" t="str">
            <v>m3</v>
          </cell>
          <cell r="D73">
            <v>49.27</v>
          </cell>
          <cell r="E73">
            <v>16.04</v>
          </cell>
          <cell r="F73">
            <v>65.31</v>
          </cell>
        </row>
        <row r="74">
          <cell r="A74" t="str">
            <v>3 S 08 101 01</v>
          </cell>
          <cell r="B74" t="str">
            <v>Remendo profundo com demolição manual</v>
          </cell>
          <cell r="C74" t="str">
            <v>m3</v>
          </cell>
          <cell r="D74">
            <v>57.84</v>
          </cell>
          <cell r="E74">
            <v>18.82</v>
          </cell>
          <cell r="F74">
            <v>76.67</v>
          </cell>
        </row>
        <row r="75">
          <cell r="A75" t="str">
            <v>3 S 08 101 02</v>
          </cell>
          <cell r="B75" t="str">
            <v>Remendo profundo com demolição mecanizada</v>
          </cell>
          <cell r="C75" t="str">
            <v>m3</v>
          </cell>
          <cell r="D75">
            <v>42.59</v>
          </cell>
          <cell r="E75">
            <v>13.86</v>
          </cell>
          <cell r="F75">
            <v>56.45</v>
          </cell>
        </row>
        <row r="76">
          <cell r="A76" t="str">
            <v>3 S 08 102 00</v>
          </cell>
          <cell r="B76" t="str">
            <v>Limpeza ench. juntas pav. concr. a quente (consv)</v>
          </cell>
          <cell r="C76" t="str">
            <v>m</v>
          </cell>
          <cell r="D76">
            <v>0.68</v>
          </cell>
          <cell r="E76">
            <v>0.22</v>
          </cell>
          <cell r="F76">
            <v>0.91</v>
          </cell>
        </row>
        <row r="77">
          <cell r="A77" t="str">
            <v>3 S 08 102 01</v>
          </cell>
          <cell r="B77" t="str">
            <v>Limpeza ench. juntas pav. concr. a frio (consv)</v>
          </cell>
          <cell r="C77" t="str">
            <v>m</v>
          </cell>
          <cell r="D77">
            <v>0.56999999999999995</v>
          </cell>
          <cell r="E77">
            <v>0.18</v>
          </cell>
          <cell r="F77">
            <v>0.76</v>
          </cell>
        </row>
        <row r="78">
          <cell r="A78" t="str">
            <v>3 S 08 103 00</v>
          </cell>
          <cell r="B78" t="str">
            <v>Selagem de trinca</v>
          </cell>
          <cell r="C78" t="str">
            <v>l</v>
          </cell>
          <cell r="D78">
            <v>0.43</v>
          </cell>
          <cell r="E78">
            <v>0.14000000000000001</v>
          </cell>
          <cell r="F78">
            <v>0.56999999999999995</v>
          </cell>
        </row>
        <row r="79">
          <cell r="A79" t="str">
            <v>3 S 08 104 01</v>
          </cell>
          <cell r="B79" t="str">
            <v>Combate à exsudação com areia</v>
          </cell>
          <cell r="C79" t="str">
            <v>m2</v>
          </cell>
          <cell r="D79">
            <v>0.15</v>
          </cell>
          <cell r="E79">
            <v>0.04</v>
          </cell>
          <cell r="F79">
            <v>0.2</v>
          </cell>
        </row>
        <row r="80">
          <cell r="A80" t="str">
            <v>3 S 08 104 02</v>
          </cell>
          <cell r="B80" t="str">
            <v>Combate à exsudação com pedrisco</v>
          </cell>
          <cell r="C80" t="str">
            <v>m2</v>
          </cell>
          <cell r="D80">
            <v>0.18</v>
          </cell>
          <cell r="E80">
            <v>0.06</v>
          </cell>
          <cell r="F80">
            <v>0.24</v>
          </cell>
        </row>
        <row r="81">
          <cell r="A81" t="str">
            <v>3 S 08 109 00</v>
          </cell>
          <cell r="B81" t="str">
            <v>Correção de defeitos com mistura betuminosa</v>
          </cell>
          <cell r="C81" t="str">
            <v>m3</v>
          </cell>
          <cell r="D81">
            <v>30.73</v>
          </cell>
          <cell r="E81">
            <v>10</v>
          </cell>
          <cell r="F81">
            <v>40.74</v>
          </cell>
        </row>
        <row r="82">
          <cell r="A82" t="str">
            <v>3 S 08 109 12</v>
          </cell>
          <cell r="B82" t="str">
            <v>Correção de defeitos por fresagem descontínua</v>
          </cell>
          <cell r="C82" t="str">
            <v>m3</v>
          </cell>
          <cell r="D82">
            <v>64.209999999999994</v>
          </cell>
          <cell r="E82">
            <v>20.9</v>
          </cell>
          <cell r="F82">
            <v>85.11</v>
          </cell>
        </row>
        <row r="83">
          <cell r="A83" t="str">
            <v>3 S 08 110 00</v>
          </cell>
          <cell r="B83" t="str">
            <v>Correção de defeitos por penetração</v>
          </cell>
          <cell r="C83" t="str">
            <v>m2</v>
          </cell>
          <cell r="D83">
            <v>3.4</v>
          </cell>
          <cell r="E83">
            <v>1.1000000000000001</v>
          </cell>
          <cell r="F83">
            <v>4.51</v>
          </cell>
        </row>
        <row r="84">
          <cell r="A84" t="str">
            <v>3 S 08 200 00</v>
          </cell>
          <cell r="B84" t="str">
            <v>Recomp. de guarda corpo</v>
          </cell>
          <cell r="C84" t="str">
            <v>m</v>
          </cell>
          <cell r="D84">
            <v>28.12</v>
          </cell>
          <cell r="E84">
            <v>9.15</v>
          </cell>
          <cell r="F84">
            <v>37.270000000000003</v>
          </cell>
        </row>
        <row r="85">
          <cell r="A85" t="str">
            <v>3 S 08 200 01</v>
          </cell>
          <cell r="B85" t="str">
            <v>Recomposição de sarjeta em alvenaria de tijolo</v>
          </cell>
          <cell r="C85" t="str">
            <v>m2</v>
          </cell>
          <cell r="D85">
            <v>13.37</v>
          </cell>
          <cell r="E85">
            <v>4.3499999999999996</v>
          </cell>
          <cell r="F85">
            <v>17.72</v>
          </cell>
        </row>
        <row r="86">
          <cell r="A86" t="str">
            <v>3 S 08 300 01</v>
          </cell>
          <cell r="B86" t="str">
            <v>Limpeza de sarjeta e meio fio</v>
          </cell>
          <cell r="C86" t="str">
            <v>m</v>
          </cell>
          <cell r="D86">
            <v>0.09</v>
          </cell>
          <cell r="E86">
            <v>0.02</v>
          </cell>
          <cell r="F86">
            <v>0.12</v>
          </cell>
        </row>
        <row r="87">
          <cell r="A87" t="str">
            <v>3 S 08 301 01</v>
          </cell>
          <cell r="B87" t="str">
            <v>Limpeza de valeta de corte</v>
          </cell>
          <cell r="C87" t="str">
            <v>m</v>
          </cell>
          <cell r="D87">
            <v>0.13</v>
          </cell>
          <cell r="E87">
            <v>0.04</v>
          </cell>
          <cell r="F87">
            <v>0.18</v>
          </cell>
        </row>
        <row r="88">
          <cell r="A88" t="str">
            <v>3 S 08 301 02</v>
          </cell>
          <cell r="B88" t="str">
            <v>Limpeza de vala de drenagem</v>
          </cell>
          <cell r="C88" t="str">
            <v>m</v>
          </cell>
          <cell r="D88">
            <v>0.54</v>
          </cell>
          <cell r="E88">
            <v>0.17</v>
          </cell>
          <cell r="F88">
            <v>0.72</v>
          </cell>
        </row>
        <row r="89">
          <cell r="A89" t="str">
            <v>3 S 08 301 03</v>
          </cell>
          <cell r="B89" t="str">
            <v>Limpeza de descida d'água</v>
          </cell>
          <cell r="C89" t="str">
            <v>m</v>
          </cell>
          <cell r="D89">
            <v>0.18</v>
          </cell>
          <cell r="E89">
            <v>0.05</v>
          </cell>
          <cell r="F89">
            <v>0.24</v>
          </cell>
        </row>
        <row r="90">
          <cell r="A90" t="str">
            <v>3 S 08 302 01</v>
          </cell>
          <cell r="B90" t="str">
            <v>Limpeza de bueiro</v>
          </cell>
          <cell r="C90" t="str">
            <v>m3</v>
          </cell>
          <cell r="D90">
            <v>3.03</v>
          </cell>
          <cell r="E90">
            <v>0.98</v>
          </cell>
          <cell r="F90">
            <v>4.0199999999999996</v>
          </cell>
        </row>
        <row r="91">
          <cell r="A91" t="str">
            <v>3 S 08 302 02</v>
          </cell>
          <cell r="B91" t="str">
            <v>Desobstrução de bueiro</v>
          </cell>
          <cell r="C91" t="str">
            <v>m3</v>
          </cell>
          <cell r="D91">
            <v>8.8000000000000007</v>
          </cell>
          <cell r="E91">
            <v>2.86</v>
          </cell>
          <cell r="F91">
            <v>11.67</v>
          </cell>
        </row>
        <row r="92">
          <cell r="A92" t="str">
            <v>3 S 08 302 03</v>
          </cell>
          <cell r="B92" t="str">
            <v>Assentamento de tubo D=0,60 m</v>
          </cell>
          <cell r="C92" t="str">
            <v>m</v>
          </cell>
          <cell r="D92">
            <v>55.31</v>
          </cell>
          <cell r="E92">
            <v>18</v>
          </cell>
          <cell r="F92">
            <v>73.319999999999993</v>
          </cell>
        </row>
        <row r="93">
          <cell r="A93" t="str">
            <v>3 S 08 302 04</v>
          </cell>
          <cell r="B93" t="str">
            <v>Assentamento de tubo D=0,80 m</v>
          </cell>
          <cell r="C93" t="str">
            <v>m</v>
          </cell>
          <cell r="D93">
            <v>83.26</v>
          </cell>
          <cell r="E93">
            <v>27.1</v>
          </cell>
          <cell r="F93">
            <v>110.36</v>
          </cell>
        </row>
        <row r="94">
          <cell r="A94" t="str">
            <v>3 S 08 302 05</v>
          </cell>
          <cell r="B94" t="str">
            <v>Assentamento de tubo D=1,0 m</v>
          </cell>
          <cell r="C94" t="str">
            <v>m</v>
          </cell>
          <cell r="D94">
            <v>122.24</v>
          </cell>
          <cell r="E94">
            <v>39.78</v>
          </cell>
          <cell r="F94">
            <v>162.03</v>
          </cell>
        </row>
        <row r="95">
          <cell r="A95" t="str">
            <v>3 S 08 302 06</v>
          </cell>
          <cell r="B95" t="str">
            <v>Assentamento de tubo D=1,20 m</v>
          </cell>
          <cell r="C95" t="str">
            <v>m</v>
          </cell>
          <cell r="D95">
            <v>176.45</v>
          </cell>
          <cell r="E95">
            <v>57.43</v>
          </cell>
          <cell r="F95">
            <v>233.89</v>
          </cell>
        </row>
        <row r="96">
          <cell r="A96" t="str">
            <v>3 S 08 400 00</v>
          </cell>
          <cell r="B96" t="str">
            <v>Limpeza de placa de sinalização</v>
          </cell>
          <cell r="C96" t="str">
            <v>m2</v>
          </cell>
          <cell r="D96">
            <v>1.4</v>
          </cell>
          <cell r="E96">
            <v>0.45</v>
          </cell>
          <cell r="F96">
            <v>1.85</v>
          </cell>
        </row>
        <row r="97">
          <cell r="A97" t="str">
            <v>3 S 08 400 01</v>
          </cell>
          <cell r="B97" t="str">
            <v>Recomposição placa de sinalização</v>
          </cell>
          <cell r="C97" t="str">
            <v>m2</v>
          </cell>
          <cell r="D97">
            <v>5.81</v>
          </cell>
          <cell r="E97">
            <v>1.89</v>
          </cell>
          <cell r="F97">
            <v>7.71</v>
          </cell>
        </row>
        <row r="98">
          <cell r="A98" t="str">
            <v>3 S 08 400 02</v>
          </cell>
          <cell r="B98" t="str">
            <v>Substituição de balizador</v>
          </cell>
          <cell r="C98" t="str">
            <v>un</v>
          </cell>
          <cell r="D98">
            <v>7.5</v>
          </cell>
          <cell r="E98">
            <v>2.44</v>
          </cell>
          <cell r="F98">
            <v>9.94</v>
          </cell>
        </row>
        <row r="99">
          <cell r="A99" t="str">
            <v>3 S 08 401 00</v>
          </cell>
          <cell r="B99" t="str">
            <v>Recomposição de defensa metálica</v>
          </cell>
          <cell r="C99" t="str">
            <v>m</v>
          </cell>
          <cell r="D99">
            <v>92.42</v>
          </cell>
          <cell r="E99">
            <v>30.08</v>
          </cell>
          <cell r="F99">
            <v>122.5</v>
          </cell>
        </row>
        <row r="100">
          <cell r="A100" t="str">
            <v>3 S 08 402 00</v>
          </cell>
          <cell r="B100" t="str">
            <v>Caiação</v>
          </cell>
          <cell r="C100" t="str">
            <v>m2</v>
          </cell>
          <cell r="D100">
            <v>0.45</v>
          </cell>
          <cell r="E100">
            <v>0.14000000000000001</v>
          </cell>
          <cell r="F100">
            <v>0.59</v>
          </cell>
        </row>
        <row r="101">
          <cell r="A101" t="str">
            <v>3 S 08 403 00</v>
          </cell>
          <cell r="B101" t="str">
            <v>Renovação de sinalização horizontal</v>
          </cell>
          <cell r="C101" t="str">
            <v>m2</v>
          </cell>
          <cell r="D101">
            <v>10.43</v>
          </cell>
          <cell r="E101">
            <v>3.39</v>
          </cell>
          <cell r="F101">
            <v>13.83</v>
          </cell>
        </row>
        <row r="102">
          <cell r="A102" t="str">
            <v>3 S 08 404 00</v>
          </cell>
          <cell r="B102" t="str">
            <v>Recomp. tot. cerca c/ mourão de conc. secção quad.</v>
          </cell>
          <cell r="C102" t="str">
            <v>m</v>
          </cell>
          <cell r="D102">
            <v>5.61</v>
          </cell>
          <cell r="E102">
            <v>1.82</v>
          </cell>
          <cell r="F102">
            <v>7.43</v>
          </cell>
        </row>
        <row r="103">
          <cell r="A103" t="str">
            <v>3 S 08 404 01</v>
          </cell>
          <cell r="B103" t="str">
            <v>Recomp. parc. cerca de conc. seção quad. - mourão</v>
          </cell>
          <cell r="C103" t="str">
            <v>m</v>
          </cell>
          <cell r="D103">
            <v>4.7</v>
          </cell>
          <cell r="E103">
            <v>1.53</v>
          </cell>
          <cell r="F103">
            <v>6.24</v>
          </cell>
        </row>
        <row r="104">
          <cell r="A104" t="str">
            <v>3 S 08 404 02</v>
          </cell>
          <cell r="B104" t="str">
            <v>Recomp. parc. cerca c/ mourão de concr.-arame</v>
          </cell>
          <cell r="C104" t="str">
            <v>m</v>
          </cell>
          <cell r="D104">
            <v>1.17</v>
          </cell>
          <cell r="E104">
            <v>0.38</v>
          </cell>
          <cell r="F104">
            <v>1.55</v>
          </cell>
        </row>
        <row r="105">
          <cell r="A105" t="str">
            <v>3 S 08 404 03</v>
          </cell>
          <cell r="B105" t="str">
            <v>Recomp. tot. cerca c/ mourão concr. seção triang.</v>
          </cell>
          <cell r="C105" t="str">
            <v>m</v>
          </cell>
          <cell r="D105">
            <v>4.82</v>
          </cell>
          <cell r="E105">
            <v>1.57</v>
          </cell>
          <cell r="F105">
            <v>6.4</v>
          </cell>
        </row>
        <row r="106">
          <cell r="A106" t="str">
            <v>3 S 08 404 04</v>
          </cell>
          <cell r="B106" t="str">
            <v>Recomp. parc. cerca c/ mourão concr. seção triang.</v>
          </cell>
          <cell r="C106" t="str">
            <v>m</v>
          </cell>
          <cell r="D106">
            <v>4.03</v>
          </cell>
          <cell r="E106">
            <v>1.31</v>
          </cell>
          <cell r="F106">
            <v>5.34</v>
          </cell>
        </row>
        <row r="107">
          <cell r="A107" t="str">
            <v>3 S 08 414 00</v>
          </cell>
          <cell r="B107" t="str">
            <v>Recomposição total de cerca com mourão de madeira</v>
          </cell>
          <cell r="C107" t="str">
            <v>m</v>
          </cell>
          <cell r="D107">
            <v>3.35</v>
          </cell>
          <cell r="E107">
            <v>1.0900000000000001</v>
          </cell>
          <cell r="F107">
            <v>4.4400000000000004</v>
          </cell>
        </row>
        <row r="108">
          <cell r="A108" t="str">
            <v>3 S 08 414 01</v>
          </cell>
          <cell r="B108" t="str">
            <v>Recomposição parcial cerca de madeira - mourão</v>
          </cell>
          <cell r="C108" t="str">
            <v>m</v>
          </cell>
          <cell r="D108">
            <v>2.81</v>
          </cell>
          <cell r="E108">
            <v>0.91</v>
          </cell>
          <cell r="F108">
            <v>3.73</v>
          </cell>
        </row>
        <row r="109">
          <cell r="A109" t="str">
            <v>3 S 08 414 02</v>
          </cell>
          <cell r="B109" t="str">
            <v>Recomp. parcial cerca c/ mourão de madeira - arame</v>
          </cell>
          <cell r="C109" t="str">
            <v>m</v>
          </cell>
          <cell r="D109">
            <v>0.9</v>
          </cell>
          <cell r="E109">
            <v>0.28999999999999998</v>
          </cell>
          <cell r="F109">
            <v>1.19</v>
          </cell>
        </row>
        <row r="110">
          <cell r="A110" t="str">
            <v>3 S 08 500 00</v>
          </cell>
          <cell r="B110" t="str">
            <v>Recomposição manual de aterro</v>
          </cell>
          <cell r="C110" t="str">
            <v>m3</v>
          </cell>
          <cell r="D110">
            <v>23.96</v>
          </cell>
          <cell r="E110">
            <v>7.8</v>
          </cell>
          <cell r="F110">
            <v>31.76</v>
          </cell>
        </row>
        <row r="111">
          <cell r="A111" t="str">
            <v>3 S 08 501 00</v>
          </cell>
          <cell r="B111" t="str">
            <v>Recomposição mecanizada de aterro</v>
          </cell>
          <cell r="C111" t="str">
            <v>m3</v>
          </cell>
          <cell r="D111">
            <v>7.79</v>
          </cell>
          <cell r="E111">
            <v>2.5299999999999998</v>
          </cell>
          <cell r="F111">
            <v>10.33</v>
          </cell>
        </row>
        <row r="112">
          <cell r="A112" t="str">
            <v>3 S 08 510 00</v>
          </cell>
          <cell r="B112" t="str">
            <v>Remoção manual de barreira em solo</v>
          </cell>
          <cell r="C112" t="str">
            <v>m3</v>
          </cell>
          <cell r="D112">
            <v>5.96</v>
          </cell>
          <cell r="E112">
            <v>1.94</v>
          </cell>
          <cell r="F112">
            <v>7.9</v>
          </cell>
        </row>
        <row r="113">
          <cell r="A113" t="str">
            <v>3 S 08 510 01</v>
          </cell>
          <cell r="B113" t="str">
            <v>Remoção manual de barreira em rocha</v>
          </cell>
          <cell r="C113" t="str">
            <v>m3</v>
          </cell>
          <cell r="D113">
            <v>7.45</v>
          </cell>
          <cell r="E113">
            <v>2.42</v>
          </cell>
          <cell r="F113">
            <v>9.8699999999999992</v>
          </cell>
        </row>
        <row r="114">
          <cell r="A114" t="str">
            <v>3 S 08 511 00</v>
          </cell>
          <cell r="B114" t="str">
            <v>Remoção mecanizada de barreira - solo</v>
          </cell>
          <cell r="C114" t="str">
            <v>m3</v>
          </cell>
          <cell r="D114">
            <v>1.49</v>
          </cell>
          <cell r="E114">
            <v>0.48</v>
          </cell>
          <cell r="F114">
            <v>1.98</v>
          </cell>
        </row>
        <row r="115">
          <cell r="A115" t="str">
            <v>3 S 08 512 00</v>
          </cell>
          <cell r="B115" t="str">
            <v>Remoção mecanizada de barreira - rocha</v>
          </cell>
          <cell r="C115" t="str">
            <v>m3</v>
          </cell>
          <cell r="D115">
            <v>2.29</v>
          </cell>
          <cell r="E115">
            <v>0.74</v>
          </cell>
          <cell r="F115">
            <v>3.03</v>
          </cell>
        </row>
        <row r="116">
          <cell r="A116" t="str">
            <v>3 S 08 513 00</v>
          </cell>
          <cell r="B116" t="str">
            <v>Remoção de matacões</v>
          </cell>
          <cell r="C116" t="str">
            <v>m3</v>
          </cell>
          <cell r="D116">
            <v>19.13</v>
          </cell>
          <cell r="E116">
            <v>6.22</v>
          </cell>
          <cell r="F116">
            <v>25.36</v>
          </cell>
        </row>
        <row r="117">
          <cell r="A117" t="str">
            <v>3 S 08 900 00</v>
          </cell>
          <cell r="B117" t="str">
            <v>Roçada manual</v>
          </cell>
          <cell r="C117" t="str">
            <v>ha</v>
          </cell>
          <cell r="D117">
            <v>252.79</v>
          </cell>
          <cell r="E117">
            <v>82.28</v>
          </cell>
          <cell r="F117">
            <v>335.07</v>
          </cell>
        </row>
        <row r="118">
          <cell r="A118" t="str">
            <v>3 S 08 900 01</v>
          </cell>
          <cell r="B118" t="str">
            <v>Roçada de capim colonião</v>
          </cell>
          <cell r="C118" t="str">
            <v>ha</v>
          </cell>
          <cell r="D118">
            <v>606.70000000000005</v>
          </cell>
          <cell r="E118">
            <v>197.48</v>
          </cell>
          <cell r="F118">
            <v>804.18</v>
          </cell>
        </row>
        <row r="119">
          <cell r="A119" t="str">
            <v>3 S 08 901 00</v>
          </cell>
          <cell r="B119" t="str">
            <v>Roçada mecanizada</v>
          </cell>
          <cell r="C119" t="str">
            <v>ha</v>
          </cell>
          <cell r="D119">
            <v>83</v>
          </cell>
          <cell r="E119">
            <v>27.01</v>
          </cell>
          <cell r="F119">
            <v>110.02</v>
          </cell>
        </row>
        <row r="120">
          <cell r="A120" t="str">
            <v>3 S 08 901 01</v>
          </cell>
          <cell r="B120" t="str">
            <v>Corte e limpeza de áreas gramadas</v>
          </cell>
          <cell r="C120" t="str">
            <v>m2</v>
          </cell>
          <cell r="D120">
            <v>0.02</v>
          </cell>
          <cell r="E120">
            <v>0</v>
          </cell>
          <cell r="F120">
            <v>0.03</v>
          </cell>
        </row>
        <row r="121">
          <cell r="A121" t="str">
            <v>3 S 08 910 00</v>
          </cell>
          <cell r="B121" t="str">
            <v>Capina manual</v>
          </cell>
          <cell r="C121" t="str">
            <v>m2</v>
          </cell>
          <cell r="D121">
            <v>0.1</v>
          </cell>
          <cell r="E121">
            <v>0.03</v>
          </cell>
          <cell r="F121">
            <v>0.13</v>
          </cell>
        </row>
        <row r="122">
          <cell r="A122" t="str">
            <v>3 S 09 001 00</v>
          </cell>
          <cell r="B122" t="str">
            <v>Transporte local c/ basc. 5m3 em rodov. não pav.</v>
          </cell>
          <cell r="C122" t="str">
            <v>tkm</v>
          </cell>
          <cell r="D122">
            <v>0.25</v>
          </cell>
          <cell r="E122">
            <v>0.08</v>
          </cell>
          <cell r="F122">
            <v>0.33</v>
          </cell>
        </row>
        <row r="123">
          <cell r="A123" t="str">
            <v>3 S 09 001 06</v>
          </cell>
          <cell r="B123" t="str">
            <v>Transporte local c/ basc. 10m3 em rodov. não pav.</v>
          </cell>
          <cell r="C123" t="str">
            <v>tkm</v>
          </cell>
          <cell r="D123">
            <v>0.23</v>
          </cell>
          <cell r="E123">
            <v>7.0000000000000007E-2</v>
          </cell>
          <cell r="F123">
            <v>0.3</v>
          </cell>
        </row>
        <row r="124">
          <cell r="A124" t="str">
            <v>3 S 09 001 41</v>
          </cell>
          <cell r="B124" t="str">
            <v>Transp. local c/ carroceria 4t em rodov. não pav.</v>
          </cell>
          <cell r="C124" t="str">
            <v>tkm</v>
          </cell>
          <cell r="D124">
            <v>0.35</v>
          </cell>
          <cell r="E124">
            <v>0.11</v>
          </cell>
          <cell r="F124">
            <v>0.46</v>
          </cell>
        </row>
        <row r="125">
          <cell r="A125" t="str">
            <v>3 S 09 001 90</v>
          </cell>
          <cell r="B125" t="str">
            <v>Transporte comercial c/ carroc. rodov. não pav.</v>
          </cell>
          <cell r="C125" t="str">
            <v>tkm</v>
          </cell>
          <cell r="D125">
            <v>0.15</v>
          </cell>
          <cell r="E125">
            <v>0.04</v>
          </cell>
          <cell r="F125">
            <v>0.2</v>
          </cell>
        </row>
        <row r="126">
          <cell r="A126" t="str">
            <v>3 S 09 002 00</v>
          </cell>
          <cell r="B126" t="str">
            <v>Transporte local basc. 5m3 em rodov. pav.</v>
          </cell>
          <cell r="C126" t="str">
            <v>tkm</v>
          </cell>
          <cell r="D126">
            <v>0.2</v>
          </cell>
          <cell r="E126">
            <v>0.06</v>
          </cell>
          <cell r="F126">
            <v>0.26</v>
          </cell>
        </row>
        <row r="127">
          <cell r="A127" t="str">
            <v>3 S 09 002 03</v>
          </cell>
          <cell r="B127" t="str">
            <v>Transporte local de material para remendos</v>
          </cell>
          <cell r="C127" t="str">
            <v>tkm</v>
          </cell>
          <cell r="D127">
            <v>0.3</v>
          </cell>
          <cell r="E127">
            <v>0.09</v>
          </cell>
          <cell r="F127">
            <v>0.4</v>
          </cell>
        </row>
        <row r="128">
          <cell r="A128" t="str">
            <v>3 S 09 002 06</v>
          </cell>
          <cell r="B128" t="str">
            <v>Transporte local c/ basc. 10m3 em rodov. pav.</v>
          </cell>
          <cell r="C128" t="str">
            <v>tkm</v>
          </cell>
          <cell r="D128">
            <v>0.17</v>
          </cell>
          <cell r="E128">
            <v>0.05</v>
          </cell>
          <cell r="F128">
            <v>0.23</v>
          </cell>
        </row>
        <row r="129">
          <cell r="A129" t="str">
            <v>3 S 09 002 41</v>
          </cell>
          <cell r="B129" t="str">
            <v>Transp. local c/ carroceria 4t em rodov. pav.</v>
          </cell>
          <cell r="C129" t="str">
            <v>tkm</v>
          </cell>
          <cell r="D129">
            <v>0.27</v>
          </cell>
          <cell r="E129">
            <v>0.09</v>
          </cell>
          <cell r="F129">
            <v>0.36</v>
          </cell>
        </row>
        <row r="130">
          <cell r="A130" t="str">
            <v>3 S 09 002 90</v>
          </cell>
          <cell r="B130" t="str">
            <v>Transporte comercial c/ carroceria rodov. pav.</v>
          </cell>
          <cell r="C130" t="str">
            <v>tkm</v>
          </cell>
          <cell r="D130">
            <v>0.1</v>
          </cell>
          <cell r="E130">
            <v>0.03</v>
          </cell>
          <cell r="F130">
            <v>0.13</v>
          </cell>
        </row>
        <row r="131">
          <cell r="A131" t="str">
            <v>3 S 09 102 00</v>
          </cell>
          <cell r="B131" t="str">
            <v>Transporte local material betuminoso</v>
          </cell>
          <cell r="C131" t="str">
            <v>tkm</v>
          </cell>
          <cell r="D131">
            <v>0.5</v>
          </cell>
          <cell r="E131">
            <v>0.16</v>
          </cell>
          <cell r="F131">
            <v>0.66</v>
          </cell>
        </row>
        <row r="132">
          <cell r="A132" t="str">
            <v>3 S 09 201 70</v>
          </cell>
          <cell r="B132" t="str">
            <v>Transp. local água c/ cam. tanque rodov. não pav.</v>
          </cell>
          <cell r="C132" t="str">
            <v>tkm</v>
          </cell>
          <cell r="D132">
            <v>0.48</v>
          </cell>
          <cell r="E132">
            <v>0.15</v>
          </cell>
          <cell r="F132">
            <v>0.64</v>
          </cell>
        </row>
        <row r="133">
          <cell r="A133" t="str">
            <v>3 S 09 202 70</v>
          </cell>
          <cell r="B133" t="str">
            <v>Transp. local água c/ cam. tanque em rodov. pav.</v>
          </cell>
          <cell r="C133" t="str">
            <v>tkm</v>
          </cell>
          <cell r="D133">
            <v>0.38</v>
          </cell>
          <cell r="E133">
            <v>0.12</v>
          </cell>
          <cell r="F133">
            <v>0.5</v>
          </cell>
        </row>
        <row r="134">
          <cell r="A134" t="str">
            <v>5 S 02 511 01</v>
          </cell>
          <cell r="B134" t="str">
            <v>Micro-revestimento a frio - Microflex 0,8cm</v>
          </cell>
          <cell r="C134" t="str">
            <v>m2</v>
          </cell>
          <cell r="D134">
            <v>0.62</v>
          </cell>
          <cell r="E134">
            <v>0.2</v>
          </cell>
          <cell r="F134">
            <v>0.82</v>
          </cell>
        </row>
      </sheetData>
      <sheetData sheetId="18" refreshError="1"/>
      <sheetData sheetId="19" refreshError="1">
        <row r="3">
          <cell r="A3" t="str">
            <v>AM01</v>
          </cell>
          <cell r="B3" t="str">
            <v>Aço D=4,2 mm CA 25</v>
          </cell>
          <cell r="C3" t="str">
            <v>kg</v>
          </cell>
          <cell r="D3">
            <v>0.95</v>
          </cell>
          <cell r="E3" t="str">
            <v>kg</v>
          </cell>
          <cell r="F3">
            <v>0.95</v>
          </cell>
        </row>
        <row r="4">
          <cell r="A4" t="str">
            <v>AM02</v>
          </cell>
          <cell r="B4" t="str">
            <v>Aço D=6,3 mm CA 25</v>
          </cell>
          <cell r="C4" t="str">
            <v>kg</v>
          </cell>
          <cell r="D4">
            <v>0.9</v>
          </cell>
          <cell r="E4" t="str">
            <v>kg</v>
          </cell>
          <cell r="F4">
            <v>0.9</v>
          </cell>
        </row>
        <row r="5">
          <cell r="A5" t="str">
            <v>AM03</v>
          </cell>
          <cell r="B5" t="str">
            <v>Aço D=10 mm CA 25</v>
          </cell>
          <cell r="C5" t="str">
            <v>kg</v>
          </cell>
          <cell r="D5">
            <v>0.84</v>
          </cell>
          <cell r="E5" t="str">
            <v>kg</v>
          </cell>
          <cell r="F5">
            <v>0.84</v>
          </cell>
        </row>
        <row r="6">
          <cell r="A6" t="str">
            <v>AM04</v>
          </cell>
          <cell r="B6" t="str">
            <v>Aço D=6,3 mm CA 50</v>
          </cell>
          <cell r="C6" t="str">
            <v>kg</v>
          </cell>
          <cell r="D6">
            <v>0.95</v>
          </cell>
          <cell r="E6" t="str">
            <v>kg</v>
          </cell>
          <cell r="F6">
            <v>0.95</v>
          </cell>
        </row>
        <row r="7">
          <cell r="A7" t="str">
            <v>AM05</v>
          </cell>
          <cell r="B7" t="str">
            <v>Aço D=10 mm CA 50</v>
          </cell>
          <cell r="C7" t="str">
            <v>kg</v>
          </cell>
          <cell r="D7">
            <v>0.84</v>
          </cell>
          <cell r="E7" t="str">
            <v>kg</v>
          </cell>
          <cell r="F7">
            <v>0.84</v>
          </cell>
        </row>
        <row r="8">
          <cell r="A8" t="str">
            <v>AM06</v>
          </cell>
          <cell r="B8" t="str">
            <v>Aço D=4,2 mm CA 60</v>
          </cell>
          <cell r="C8" t="str">
            <v>kg</v>
          </cell>
          <cell r="D8">
            <v>0.98</v>
          </cell>
          <cell r="E8" t="str">
            <v>kg</v>
          </cell>
          <cell r="F8">
            <v>0.98</v>
          </cell>
        </row>
        <row r="9">
          <cell r="A9" t="str">
            <v>AM07</v>
          </cell>
          <cell r="B9" t="str">
            <v>Aço D=5,0 mm CA 60</v>
          </cell>
          <cell r="C9" t="str">
            <v>kg</v>
          </cell>
          <cell r="D9">
            <v>0.97</v>
          </cell>
          <cell r="E9" t="str">
            <v>kg</v>
          </cell>
          <cell r="F9">
            <v>0.97</v>
          </cell>
        </row>
        <row r="10">
          <cell r="A10" t="str">
            <v>AM08</v>
          </cell>
          <cell r="B10" t="str">
            <v>Aço D=6,0 mm CA 60</v>
          </cell>
          <cell r="C10" t="str">
            <v>kg</v>
          </cell>
          <cell r="D10">
            <v>0.97</v>
          </cell>
          <cell r="E10" t="str">
            <v>kg</v>
          </cell>
          <cell r="F10">
            <v>0.97</v>
          </cell>
        </row>
        <row r="11">
          <cell r="A11" t="str">
            <v>AM09</v>
          </cell>
          <cell r="B11" t="str">
            <v>Mandíbula móvel p/ britador 6240C</v>
          </cell>
          <cell r="C11" t="str">
            <v>un</v>
          </cell>
          <cell r="D11">
            <v>991.2</v>
          </cell>
          <cell r="E11" t="str">
            <v>u/h</v>
          </cell>
          <cell r="F11">
            <v>4.5888999999999998</v>
          </cell>
        </row>
        <row r="12">
          <cell r="A12" t="str">
            <v>AM10</v>
          </cell>
          <cell r="B12" t="str">
            <v>Mandíbula fixa p/ britador 6240C</v>
          </cell>
          <cell r="C12" t="str">
            <v>un</v>
          </cell>
          <cell r="D12">
            <v>1050</v>
          </cell>
          <cell r="E12" t="str">
            <v>u/h</v>
          </cell>
          <cell r="F12">
            <v>7.8947000000000003</v>
          </cell>
        </row>
        <row r="13">
          <cell r="A13" t="str">
            <v>AM11</v>
          </cell>
          <cell r="B13" t="str">
            <v>Revestimento móvel p/ britador 60TS</v>
          </cell>
          <cell r="C13" t="str">
            <v>un</v>
          </cell>
          <cell r="D13">
            <v>904.04</v>
          </cell>
          <cell r="E13" t="str">
            <v>u/h</v>
          </cell>
          <cell r="F13">
            <v>2.3727999999999998</v>
          </cell>
        </row>
        <row r="14">
          <cell r="A14" t="str">
            <v>AM12</v>
          </cell>
          <cell r="B14" t="str">
            <v>Revestimento fixo p/ britador 60TS</v>
          </cell>
          <cell r="C14" t="str">
            <v>un</v>
          </cell>
          <cell r="D14">
            <v>1214.8599999999999</v>
          </cell>
          <cell r="E14" t="str">
            <v>u/h</v>
          </cell>
          <cell r="F14">
            <v>3.0756000000000001</v>
          </cell>
        </row>
        <row r="15">
          <cell r="A15" t="str">
            <v>AM19</v>
          </cell>
          <cell r="B15" t="str">
            <v>Mandíbula fixa p/ britador 4230</v>
          </cell>
          <cell r="C15" t="str">
            <v>un</v>
          </cell>
          <cell r="D15">
            <v>476.7</v>
          </cell>
          <cell r="E15" t="str">
            <v>u/h</v>
          </cell>
          <cell r="F15">
            <v>3.1779999999999999</v>
          </cell>
        </row>
        <row r="16">
          <cell r="A16" t="str">
            <v>AM20</v>
          </cell>
          <cell r="B16" t="str">
            <v>Mandíbula móvel p/ britador 4230</v>
          </cell>
          <cell r="C16" t="str">
            <v>un</v>
          </cell>
          <cell r="D16">
            <v>476.7</v>
          </cell>
          <cell r="E16" t="str">
            <v>u/h</v>
          </cell>
          <cell r="F16">
            <v>4.7670000000000003</v>
          </cell>
        </row>
        <row r="17">
          <cell r="A17" t="str">
            <v>AM25</v>
          </cell>
          <cell r="B17" t="str">
            <v>Mandíbula móvel para britador 80x50</v>
          </cell>
          <cell r="C17" t="str">
            <v>un</v>
          </cell>
          <cell r="D17">
            <v>2415</v>
          </cell>
          <cell r="E17" t="str">
            <v>u/h</v>
          </cell>
          <cell r="F17">
            <v>9.66</v>
          </cell>
        </row>
        <row r="18">
          <cell r="A18" t="str">
            <v>AM26</v>
          </cell>
          <cell r="B18" t="str">
            <v>Mandíbula fixa para britador 80x50</v>
          </cell>
          <cell r="C18" t="str">
            <v>un</v>
          </cell>
          <cell r="D18">
            <v>2261.69</v>
          </cell>
          <cell r="E18" t="str">
            <v>u/h</v>
          </cell>
          <cell r="F18">
            <v>5.1755000000000004</v>
          </cell>
        </row>
        <row r="19">
          <cell r="A19" t="str">
            <v>AM27</v>
          </cell>
          <cell r="B19" t="str">
            <v>Revestimento móvel p/ britador 90TS</v>
          </cell>
          <cell r="C19" t="str">
            <v>un</v>
          </cell>
          <cell r="D19">
            <v>1653.77</v>
          </cell>
          <cell r="E19" t="str">
            <v>u/h</v>
          </cell>
          <cell r="F19">
            <v>4.8928000000000003</v>
          </cell>
        </row>
        <row r="20">
          <cell r="A20" t="str">
            <v>AM28</v>
          </cell>
          <cell r="B20" t="str">
            <v>Revestimento fixo p/ britador 90TS</v>
          </cell>
          <cell r="C20" t="str">
            <v>un</v>
          </cell>
          <cell r="D20">
            <v>2144.12</v>
          </cell>
          <cell r="E20" t="str">
            <v>u/h</v>
          </cell>
          <cell r="F20">
            <v>4.8730000000000002</v>
          </cell>
        </row>
        <row r="21">
          <cell r="A21" t="str">
            <v>AM29</v>
          </cell>
          <cell r="B21" t="str">
            <v>Revestimento móvel p/ britador 90TF</v>
          </cell>
          <cell r="C21" t="str">
            <v>un</v>
          </cell>
          <cell r="D21">
            <v>1417.5</v>
          </cell>
          <cell r="E21" t="str">
            <v>u/h</v>
          </cell>
          <cell r="F21">
            <v>14.318199999999999</v>
          </cell>
        </row>
        <row r="22">
          <cell r="A22" t="str">
            <v>AM30</v>
          </cell>
          <cell r="B22" t="str">
            <v>Revestimento fixo p/ britador 90TF</v>
          </cell>
          <cell r="C22" t="str">
            <v>un</v>
          </cell>
          <cell r="D22">
            <v>1375.5</v>
          </cell>
          <cell r="E22" t="str">
            <v>u/h</v>
          </cell>
          <cell r="F22">
            <v>11.004</v>
          </cell>
        </row>
        <row r="23">
          <cell r="A23" t="str">
            <v>AM35</v>
          </cell>
          <cell r="B23" t="str">
            <v>Brita 1</v>
          </cell>
          <cell r="C23" t="str">
            <v>m3</v>
          </cell>
          <cell r="D23">
            <v>25</v>
          </cell>
          <cell r="E23" t="str">
            <v>m3</v>
          </cell>
          <cell r="F23">
            <v>25</v>
          </cell>
        </row>
        <row r="24">
          <cell r="A24" t="str">
            <v>AM36</v>
          </cell>
          <cell r="B24" t="str">
            <v>Brita 2</v>
          </cell>
          <cell r="C24" t="str">
            <v>m3</v>
          </cell>
          <cell r="D24">
            <v>25</v>
          </cell>
          <cell r="E24" t="str">
            <v>m3</v>
          </cell>
          <cell r="F24">
            <v>25</v>
          </cell>
        </row>
        <row r="25">
          <cell r="A25" t="str">
            <v>AM37</v>
          </cell>
          <cell r="B25" t="str">
            <v>Brita 3</v>
          </cell>
          <cell r="C25" t="str">
            <v>m3</v>
          </cell>
          <cell r="D25">
            <v>25</v>
          </cell>
          <cell r="E25" t="str">
            <v>m3</v>
          </cell>
          <cell r="F25">
            <v>25</v>
          </cell>
        </row>
        <row r="26">
          <cell r="A26" t="str">
            <v>F801</v>
          </cell>
          <cell r="B26" t="str">
            <v>Bomba hidráulica alta pressão MAC</v>
          </cell>
          <cell r="C26" t="str">
            <v>dia</v>
          </cell>
          <cell r="D26">
            <v>288</v>
          </cell>
          <cell r="E26" t="str">
            <v>h</v>
          </cell>
          <cell r="F26">
            <v>36</v>
          </cell>
        </row>
        <row r="27">
          <cell r="A27" t="str">
            <v>F802</v>
          </cell>
          <cell r="B27" t="str">
            <v>Bomba eletr p/ injeção de nata MAC</v>
          </cell>
          <cell r="C27" t="str">
            <v>dia</v>
          </cell>
          <cell r="D27">
            <v>203.52</v>
          </cell>
          <cell r="E27" t="str">
            <v>h</v>
          </cell>
          <cell r="F27">
            <v>25.44</v>
          </cell>
        </row>
        <row r="28">
          <cell r="A28" t="str">
            <v>F803</v>
          </cell>
          <cell r="B28" t="str">
            <v>Macaco p/ protensão MAC 7</v>
          </cell>
          <cell r="C28" t="str">
            <v>dia</v>
          </cell>
          <cell r="D28">
            <v>186.97</v>
          </cell>
          <cell r="E28" t="str">
            <v>h</v>
          </cell>
          <cell r="F28">
            <v>23.371200000000002</v>
          </cell>
        </row>
        <row r="29">
          <cell r="A29" t="str">
            <v>F804</v>
          </cell>
          <cell r="B29" t="str">
            <v>Macaco p/ protensão MAC 12</v>
          </cell>
          <cell r="C29" t="str">
            <v>dia</v>
          </cell>
          <cell r="D29">
            <v>186.41</v>
          </cell>
          <cell r="E29" t="str">
            <v>h</v>
          </cell>
          <cell r="F29">
            <v>23.301200000000001</v>
          </cell>
        </row>
        <row r="30">
          <cell r="A30" t="str">
            <v>F805</v>
          </cell>
          <cell r="B30" t="str">
            <v>Macaco p/ protensão MAC 4</v>
          </cell>
          <cell r="C30" t="str">
            <v>dia</v>
          </cell>
          <cell r="D30">
            <v>183.45</v>
          </cell>
          <cell r="E30" t="str">
            <v>h</v>
          </cell>
          <cell r="F30">
            <v>22.9312</v>
          </cell>
        </row>
        <row r="31">
          <cell r="A31" t="str">
            <v>F807</v>
          </cell>
          <cell r="B31" t="str">
            <v>Bomba hidr. alta pressão STUP</v>
          </cell>
          <cell r="C31" t="str">
            <v>dia</v>
          </cell>
          <cell r="D31">
            <v>375</v>
          </cell>
          <cell r="E31" t="str">
            <v>h</v>
          </cell>
          <cell r="F31">
            <v>46.875</v>
          </cell>
        </row>
        <row r="32">
          <cell r="A32" t="str">
            <v>F808</v>
          </cell>
          <cell r="B32" t="str">
            <v>Bomba eletr. injeção de nata STUP</v>
          </cell>
          <cell r="C32" t="str">
            <v>dia</v>
          </cell>
          <cell r="D32">
            <v>385</v>
          </cell>
          <cell r="E32" t="str">
            <v>h</v>
          </cell>
          <cell r="F32">
            <v>48.125</v>
          </cell>
        </row>
        <row r="33">
          <cell r="A33" t="str">
            <v>F809</v>
          </cell>
          <cell r="B33" t="str">
            <v>Macaco p/ protensão STUP</v>
          </cell>
          <cell r="C33" t="str">
            <v>dia</v>
          </cell>
          <cell r="D33">
            <v>368</v>
          </cell>
          <cell r="E33" t="str">
            <v>h</v>
          </cell>
          <cell r="F33">
            <v>46</v>
          </cell>
        </row>
        <row r="34">
          <cell r="A34" t="str">
            <v>F810</v>
          </cell>
          <cell r="B34" t="str">
            <v>Macaco p/ protensão STUP</v>
          </cell>
          <cell r="C34" t="str">
            <v>dia</v>
          </cell>
          <cell r="D34">
            <v>378</v>
          </cell>
          <cell r="E34" t="str">
            <v>h</v>
          </cell>
          <cell r="F34">
            <v>47.25</v>
          </cell>
        </row>
        <row r="35">
          <cell r="A35" t="str">
            <v>F811</v>
          </cell>
          <cell r="B35" t="str">
            <v>Macaco p/ protensão STUP</v>
          </cell>
          <cell r="C35" t="str">
            <v>dia</v>
          </cell>
          <cell r="D35">
            <v>426</v>
          </cell>
          <cell r="E35" t="str">
            <v>h</v>
          </cell>
          <cell r="F35">
            <v>53.25</v>
          </cell>
        </row>
        <row r="36">
          <cell r="A36" t="str">
            <v>F812</v>
          </cell>
          <cell r="B36" t="str">
            <v>Macaco p/ protensão STUP</v>
          </cell>
          <cell r="C36" t="str">
            <v>dia</v>
          </cell>
          <cell r="D36">
            <v>352</v>
          </cell>
          <cell r="E36" t="str">
            <v>h</v>
          </cell>
          <cell r="F36">
            <v>44</v>
          </cell>
        </row>
        <row r="37">
          <cell r="A37" t="str">
            <v>F813</v>
          </cell>
          <cell r="B37" t="str">
            <v>Macaco p/ prot. de tirante D=32mm</v>
          </cell>
          <cell r="C37" t="str">
            <v>dia</v>
          </cell>
          <cell r="D37">
            <v>36.75</v>
          </cell>
          <cell r="E37" t="str">
            <v>h</v>
          </cell>
          <cell r="F37">
            <v>4.5937999999999999</v>
          </cell>
        </row>
        <row r="38">
          <cell r="A38" t="str">
            <v>F814</v>
          </cell>
          <cell r="B38" t="str">
            <v>Injeção de nata de cimento</v>
          </cell>
          <cell r="C38" t="str">
            <v>m</v>
          </cell>
          <cell r="D38">
            <v>4.09</v>
          </cell>
          <cell r="E38" t="str">
            <v>m</v>
          </cell>
          <cell r="F38">
            <v>4.09</v>
          </cell>
        </row>
        <row r="39">
          <cell r="A39" t="str">
            <v>F943</v>
          </cell>
          <cell r="B39" t="str">
            <v>Terra Armada - moldes metálicos</v>
          </cell>
          <cell r="C39" t="str">
            <v>cj</v>
          </cell>
          <cell r="D39">
            <v>0.51</v>
          </cell>
          <cell r="E39" t="str">
            <v>cj</v>
          </cell>
          <cell r="F39">
            <v>0.51</v>
          </cell>
        </row>
        <row r="40">
          <cell r="A40" t="str">
            <v>M001</v>
          </cell>
          <cell r="B40" t="str">
            <v>Gasolina</v>
          </cell>
          <cell r="C40" t="str">
            <v>l</v>
          </cell>
          <cell r="D40">
            <v>1.66</v>
          </cell>
          <cell r="E40" t="str">
            <v>l</v>
          </cell>
          <cell r="F40">
            <v>1.66</v>
          </cell>
        </row>
        <row r="41">
          <cell r="A41" t="str">
            <v>M002</v>
          </cell>
          <cell r="B41" t="str">
            <v>Diesel</v>
          </cell>
          <cell r="C41" t="str">
            <v>l</v>
          </cell>
          <cell r="D41">
            <v>0.87</v>
          </cell>
          <cell r="E41" t="str">
            <v>l</v>
          </cell>
          <cell r="F41">
            <v>0.87</v>
          </cell>
        </row>
        <row r="42">
          <cell r="A42" t="str">
            <v>M003</v>
          </cell>
          <cell r="B42" t="str">
            <v>Óleo combustível 1A</v>
          </cell>
          <cell r="C42" t="str">
            <v>l</v>
          </cell>
          <cell r="D42">
            <v>0.46</v>
          </cell>
          <cell r="E42" t="str">
            <v>l</v>
          </cell>
          <cell r="F42">
            <v>0.46479999999999999</v>
          </cell>
        </row>
        <row r="43">
          <cell r="A43" t="str">
            <v>M004</v>
          </cell>
          <cell r="B43" t="str">
            <v>Álcool</v>
          </cell>
          <cell r="C43" t="str">
            <v>l</v>
          </cell>
          <cell r="D43">
            <v>1.19</v>
          </cell>
          <cell r="E43" t="str">
            <v>l</v>
          </cell>
          <cell r="F43">
            <v>1.19</v>
          </cell>
        </row>
        <row r="44">
          <cell r="A44" t="str">
            <v>M005</v>
          </cell>
          <cell r="B44" t="str">
            <v>Energia elétrica</v>
          </cell>
          <cell r="C44" t="str">
            <v>kwh</v>
          </cell>
          <cell r="D44">
            <v>0.21</v>
          </cell>
          <cell r="E44" t="str">
            <v>kwh</v>
          </cell>
          <cell r="F44">
            <v>0.21010000000000001</v>
          </cell>
        </row>
        <row r="45">
          <cell r="A45" t="str">
            <v>M101</v>
          </cell>
          <cell r="B45" t="str">
            <v>Cimento asfáltico CAP-20</v>
          </cell>
          <cell r="C45" t="str">
            <v>t</v>
          </cell>
          <cell r="D45">
            <v>0</v>
          </cell>
          <cell r="E45" t="str">
            <v>t</v>
          </cell>
          <cell r="F45">
            <v>0</v>
          </cell>
        </row>
        <row r="46">
          <cell r="A46" t="str">
            <v>M102</v>
          </cell>
          <cell r="B46" t="str">
            <v>Cimento asfáltico CAP-40</v>
          </cell>
          <cell r="C46" t="str">
            <v>t</v>
          </cell>
          <cell r="D46">
            <v>0</v>
          </cell>
          <cell r="E46" t="str">
            <v>t</v>
          </cell>
          <cell r="F46">
            <v>0</v>
          </cell>
        </row>
        <row r="47">
          <cell r="A47" t="str">
            <v>M103</v>
          </cell>
          <cell r="B47" t="str">
            <v>Asfalto diluído CM-30</v>
          </cell>
          <cell r="C47" t="str">
            <v>t</v>
          </cell>
          <cell r="D47">
            <v>784.1</v>
          </cell>
          <cell r="E47" t="str">
            <v>t</v>
          </cell>
          <cell r="F47">
            <v>0</v>
          </cell>
        </row>
        <row r="48">
          <cell r="A48" t="str">
            <v>M104</v>
          </cell>
          <cell r="B48" t="str">
            <v>Emulsão asfáltica RR-1C</v>
          </cell>
          <cell r="C48" t="str">
            <v>t</v>
          </cell>
          <cell r="D48">
            <v>484.1</v>
          </cell>
          <cell r="E48" t="str">
            <v>t</v>
          </cell>
          <cell r="F48">
            <v>0</v>
          </cell>
        </row>
        <row r="49">
          <cell r="A49" t="str">
            <v>M105</v>
          </cell>
          <cell r="B49" t="str">
            <v>Emulsão asfáltica RR-2C</v>
          </cell>
          <cell r="C49" t="str">
            <v>t</v>
          </cell>
          <cell r="D49">
            <v>0</v>
          </cell>
          <cell r="E49" t="str">
            <v>t</v>
          </cell>
          <cell r="F49">
            <v>0</v>
          </cell>
        </row>
        <row r="50">
          <cell r="A50" t="str">
            <v>M106</v>
          </cell>
          <cell r="B50" t="str">
            <v>Cimento asfáltico CAP 7</v>
          </cell>
          <cell r="C50" t="str">
            <v>t</v>
          </cell>
          <cell r="D50">
            <v>0</v>
          </cell>
          <cell r="E50" t="str">
            <v>t</v>
          </cell>
          <cell r="F50">
            <v>0</v>
          </cell>
        </row>
        <row r="51">
          <cell r="A51" t="str">
            <v>M107</v>
          </cell>
          <cell r="B51" t="str">
            <v>Emulsão asfáltica RM-1C</v>
          </cell>
          <cell r="C51" t="str">
            <v>t</v>
          </cell>
          <cell r="D51">
            <v>617.9</v>
          </cell>
          <cell r="E51" t="str">
            <v>t</v>
          </cell>
          <cell r="F51">
            <v>0</v>
          </cell>
        </row>
        <row r="52">
          <cell r="A52" t="str">
            <v>M108</v>
          </cell>
          <cell r="B52" t="str">
            <v>Emulsão asfáltica RM-2C</v>
          </cell>
          <cell r="C52" t="str">
            <v>t</v>
          </cell>
          <cell r="D52">
            <v>662.8</v>
          </cell>
          <cell r="E52" t="str">
            <v>t</v>
          </cell>
          <cell r="F52">
            <v>0</v>
          </cell>
        </row>
        <row r="53">
          <cell r="A53" t="str">
            <v>M109</v>
          </cell>
          <cell r="B53" t="str">
            <v>Emulsão asfáltica RL-1C</v>
          </cell>
          <cell r="C53" t="str">
            <v>t</v>
          </cell>
          <cell r="D53">
            <v>615</v>
          </cell>
          <cell r="E53" t="str">
            <v>t</v>
          </cell>
          <cell r="F53">
            <v>0</v>
          </cell>
        </row>
        <row r="54">
          <cell r="A54" t="str">
            <v>M110</v>
          </cell>
          <cell r="B54" t="str">
            <v>Emulsão polim. p/ micro-rev. a frio</v>
          </cell>
          <cell r="C54" t="str">
            <v>t</v>
          </cell>
          <cell r="D54">
            <v>0</v>
          </cell>
          <cell r="E54" t="str">
            <v>t</v>
          </cell>
          <cell r="F54">
            <v>0</v>
          </cell>
        </row>
        <row r="55">
          <cell r="A55" t="str">
            <v>M111</v>
          </cell>
          <cell r="B55" t="str">
            <v>Aditivo p/ controle de ruptura</v>
          </cell>
          <cell r="C55" t="str">
            <v>kg</v>
          </cell>
          <cell r="D55">
            <v>1.5</v>
          </cell>
          <cell r="E55" t="str">
            <v>kg</v>
          </cell>
          <cell r="F55">
            <v>1.5</v>
          </cell>
        </row>
        <row r="56">
          <cell r="A56" t="str">
            <v>M112</v>
          </cell>
          <cell r="B56" t="str">
            <v>Aditivo sólido (fibras)</v>
          </cell>
          <cell r="C56" t="str">
            <v>kg</v>
          </cell>
          <cell r="D56">
            <v>2.2000000000000002</v>
          </cell>
          <cell r="E56" t="str">
            <v>kg</v>
          </cell>
          <cell r="F56">
            <v>2.2000000000000002</v>
          </cell>
        </row>
        <row r="57">
          <cell r="A57" t="str">
            <v>M114</v>
          </cell>
          <cell r="B57" t="str">
            <v>Agente rejuv. p/ recicl. a quente</v>
          </cell>
          <cell r="C57" t="str">
            <v>t</v>
          </cell>
          <cell r="D57">
            <v>0</v>
          </cell>
          <cell r="E57" t="str">
            <v>t</v>
          </cell>
          <cell r="F57">
            <v>0</v>
          </cell>
        </row>
        <row r="58">
          <cell r="A58" t="str">
            <v>M201</v>
          </cell>
          <cell r="B58" t="str">
            <v>Cimento portland CP-32 (a granel)</v>
          </cell>
          <cell r="C58" t="str">
            <v>kg</v>
          </cell>
          <cell r="D58">
            <v>0.158</v>
          </cell>
          <cell r="E58" t="str">
            <v>kg</v>
          </cell>
          <cell r="F58">
            <v>0.2</v>
          </cell>
        </row>
        <row r="59">
          <cell r="A59" t="str">
            <v>M202</v>
          </cell>
          <cell r="B59" t="str">
            <v>Cimento portland CP-32</v>
          </cell>
          <cell r="C59" t="str">
            <v>kg</v>
          </cell>
          <cell r="D59">
            <v>0.20319999999999999</v>
          </cell>
          <cell r="E59" t="str">
            <v>sc</v>
          </cell>
          <cell r="F59">
            <v>10.16</v>
          </cell>
        </row>
        <row r="60">
          <cell r="A60" t="str">
            <v>M307</v>
          </cell>
          <cell r="B60" t="str">
            <v>Cordoalha CP-190 RB D=12,7mm</v>
          </cell>
          <cell r="C60" t="str">
            <v>kg</v>
          </cell>
          <cell r="D60">
            <v>2</v>
          </cell>
          <cell r="E60" t="str">
            <v>kg</v>
          </cell>
          <cell r="F60">
            <v>2</v>
          </cell>
        </row>
        <row r="61">
          <cell r="A61" t="str">
            <v>M319</v>
          </cell>
          <cell r="B61" t="str">
            <v>Arame recozido nº. 18</v>
          </cell>
          <cell r="C61" t="str">
            <v>kg</v>
          </cell>
          <cell r="D61">
            <v>1.72</v>
          </cell>
          <cell r="E61" t="str">
            <v>kg</v>
          </cell>
          <cell r="F61">
            <v>1.72</v>
          </cell>
        </row>
        <row r="62">
          <cell r="A62" t="str">
            <v>M320</v>
          </cell>
          <cell r="B62" t="str">
            <v>Pregos (18x30)</v>
          </cell>
          <cell r="C62" t="str">
            <v>kg</v>
          </cell>
          <cell r="D62">
            <v>1.46</v>
          </cell>
          <cell r="E62" t="str">
            <v>kg</v>
          </cell>
          <cell r="F62">
            <v>1.46</v>
          </cell>
        </row>
        <row r="63">
          <cell r="A63" t="str">
            <v>M321</v>
          </cell>
          <cell r="B63" t="str">
            <v>Arame farpado nº. 16 galv. simples</v>
          </cell>
          <cell r="C63" t="str">
            <v>m</v>
          </cell>
          <cell r="D63">
            <v>0.09</v>
          </cell>
          <cell r="E63" t="str">
            <v>rl</v>
          </cell>
          <cell r="F63">
            <v>22.5</v>
          </cell>
        </row>
        <row r="64">
          <cell r="A64" t="str">
            <v>M322</v>
          </cell>
          <cell r="B64" t="str">
            <v>Grampo para cerca galvanizado 1 x 9</v>
          </cell>
          <cell r="C64" t="str">
            <v>kg</v>
          </cell>
          <cell r="D64">
            <v>1.85</v>
          </cell>
          <cell r="E64" t="str">
            <v>kg</v>
          </cell>
          <cell r="F64">
            <v>1.85</v>
          </cell>
        </row>
        <row r="65">
          <cell r="A65" t="str">
            <v>M323</v>
          </cell>
          <cell r="B65" t="str">
            <v>Cantoneira de aço 4" x 4" x 3/8"</v>
          </cell>
          <cell r="C65" t="str">
            <v>kg</v>
          </cell>
          <cell r="D65">
            <v>0.88</v>
          </cell>
          <cell r="E65" t="str">
            <v>kg</v>
          </cell>
          <cell r="F65">
            <v>0.88</v>
          </cell>
        </row>
        <row r="66">
          <cell r="A66" t="str">
            <v>M324</v>
          </cell>
          <cell r="B66" t="str">
            <v>Pórtico metálico (15 a 17m de vão)</v>
          </cell>
          <cell r="C66" t="str">
            <v>un</v>
          </cell>
          <cell r="D66">
            <v>13500</v>
          </cell>
          <cell r="E66" t="str">
            <v>un</v>
          </cell>
          <cell r="F66">
            <v>13500</v>
          </cell>
        </row>
        <row r="67">
          <cell r="A67" t="str">
            <v>M325</v>
          </cell>
          <cell r="B67" t="str">
            <v>Trilho metálico TR-37 (usado)</v>
          </cell>
          <cell r="C67" t="str">
            <v>kg</v>
          </cell>
          <cell r="D67">
            <v>0.65</v>
          </cell>
          <cell r="E67" t="str">
            <v>kg</v>
          </cell>
          <cell r="F67">
            <v>0.65</v>
          </cell>
        </row>
        <row r="68">
          <cell r="A68" t="str">
            <v>M326</v>
          </cell>
          <cell r="B68" t="str">
            <v>Série de brocas S-12 D=22 mm</v>
          </cell>
          <cell r="C68" t="str">
            <v>un</v>
          </cell>
          <cell r="D68">
            <v>1121.06</v>
          </cell>
          <cell r="E68" t="str">
            <v>un</v>
          </cell>
          <cell r="F68">
            <v>1121.06</v>
          </cell>
        </row>
        <row r="69">
          <cell r="A69" t="str">
            <v>M328</v>
          </cell>
          <cell r="B69" t="str">
            <v>Luva de emenda D=32mm</v>
          </cell>
          <cell r="C69" t="str">
            <v>un</v>
          </cell>
          <cell r="D69">
            <v>23.65</v>
          </cell>
          <cell r="E69" t="str">
            <v>un</v>
          </cell>
          <cell r="F69">
            <v>23.65</v>
          </cell>
        </row>
        <row r="70">
          <cell r="A70" t="str">
            <v>M330</v>
          </cell>
          <cell r="B70" t="str">
            <v>Calha met. semicircular D=40 cm</v>
          </cell>
          <cell r="C70" t="str">
            <v>m</v>
          </cell>
          <cell r="D70">
            <v>55</v>
          </cell>
          <cell r="E70" t="str">
            <v>m</v>
          </cell>
          <cell r="F70">
            <v>55</v>
          </cell>
        </row>
        <row r="71">
          <cell r="A71" t="str">
            <v>M331</v>
          </cell>
          <cell r="B71" t="str">
            <v>Paraf. fixação calha met. (1/2"x1")</v>
          </cell>
          <cell r="C71" t="str">
            <v>un</v>
          </cell>
          <cell r="D71">
            <v>0.42</v>
          </cell>
          <cell r="E71" t="str">
            <v>un</v>
          </cell>
          <cell r="F71">
            <v>0.42</v>
          </cell>
        </row>
        <row r="72">
          <cell r="A72" t="str">
            <v>M332</v>
          </cell>
          <cell r="B72" t="str">
            <v>Paraf. forma de madeira (1/2"x3")</v>
          </cell>
          <cell r="C72" t="str">
            <v>kg</v>
          </cell>
          <cell r="D72">
            <v>12.6</v>
          </cell>
          <cell r="E72" t="str">
            <v>kg</v>
          </cell>
          <cell r="F72">
            <v>12.6</v>
          </cell>
        </row>
        <row r="73">
          <cell r="A73" t="str">
            <v>M334</v>
          </cell>
          <cell r="B73" t="str">
            <v>Paraf. zinc. c/ fenda 1 1/2"x3/16"</v>
          </cell>
          <cell r="C73" t="str">
            <v>un</v>
          </cell>
          <cell r="D73">
            <v>0.06</v>
          </cell>
          <cell r="E73" t="str">
            <v>un</v>
          </cell>
          <cell r="F73">
            <v>0.06</v>
          </cell>
        </row>
        <row r="74">
          <cell r="A74" t="str">
            <v>M335</v>
          </cell>
          <cell r="B74" t="str">
            <v>Paraf. zincado francês 4" x 5/16"</v>
          </cell>
          <cell r="C74" t="str">
            <v>un</v>
          </cell>
          <cell r="D74">
            <v>0.33</v>
          </cell>
          <cell r="E74" t="str">
            <v>un</v>
          </cell>
          <cell r="F74">
            <v>0.33</v>
          </cell>
        </row>
        <row r="75">
          <cell r="A75" t="str">
            <v>M338</v>
          </cell>
          <cell r="B75" t="str">
            <v>Cano de ferro D=3/4"</v>
          </cell>
          <cell r="C75" t="str">
            <v>m</v>
          </cell>
          <cell r="D75">
            <v>1.92</v>
          </cell>
          <cell r="E75" t="str">
            <v>pç</v>
          </cell>
          <cell r="F75">
            <v>11.52</v>
          </cell>
        </row>
        <row r="76">
          <cell r="A76" t="str">
            <v>M339</v>
          </cell>
          <cell r="B76" t="str">
            <v>Cantoneira ferro (3,0"x3,0"x3/8")</v>
          </cell>
          <cell r="C76" t="str">
            <v>kg</v>
          </cell>
          <cell r="D76">
            <v>0.86</v>
          </cell>
          <cell r="E76" t="str">
            <v>kg</v>
          </cell>
          <cell r="F76">
            <v>0.86</v>
          </cell>
        </row>
        <row r="77">
          <cell r="A77" t="str">
            <v>M340</v>
          </cell>
          <cell r="B77" t="str">
            <v>Tampão de ferro fundido</v>
          </cell>
          <cell r="C77" t="str">
            <v>un</v>
          </cell>
          <cell r="D77">
            <v>135.31</v>
          </cell>
          <cell r="E77" t="str">
            <v>un</v>
          </cell>
          <cell r="F77">
            <v>135.31</v>
          </cell>
        </row>
        <row r="78">
          <cell r="A78" t="str">
            <v>M341</v>
          </cell>
          <cell r="B78" t="str">
            <v>Defensa met. maleável simples</v>
          </cell>
          <cell r="C78" t="str">
            <v>mod</v>
          </cell>
          <cell r="D78">
            <v>546</v>
          </cell>
          <cell r="E78" t="str">
            <v>mod</v>
          </cell>
          <cell r="F78">
            <v>546</v>
          </cell>
        </row>
        <row r="79">
          <cell r="A79" t="str">
            <v>M342</v>
          </cell>
          <cell r="B79" t="str">
            <v>Defensa met. maleável dupla</v>
          </cell>
          <cell r="C79" t="str">
            <v>mod</v>
          </cell>
          <cell r="D79">
            <v>680</v>
          </cell>
          <cell r="E79" t="str">
            <v>mod</v>
          </cell>
          <cell r="F79">
            <v>680</v>
          </cell>
        </row>
        <row r="80">
          <cell r="A80" t="str">
            <v>M343</v>
          </cell>
          <cell r="B80" t="str">
            <v>Defensa met. semi-maleável simples</v>
          </cell>
          <cell r="C80" t="str">
            <v>mod</v>
          </cell>
          <cell r="D80">
            <v>360</v>
          </cell>
          <cell r="E80" t="str">
            <v>mod</v>
          </cell>
          <cell r="F80">
            <v>360</v>
          </cell>
        </row>
        <row r="81">
          <cell r="A81" t="str">
            <v>M344</v>
          </cell>
          <cell r="B81" t="str">
            <v>Defensa met. semi-maleável dupla</v>
          </cell>
          <cell r="C81" t="str">
            <v>mod</v>
          </cell>
          <cell r="D81">
            <v>618</v>
          </cell>
          <cell r="E81" t="str">
            <v>mod</v>
          </cell>
          <cell r="F81">
            <v>618</v>
          </cell>
        </row>
        <row r="82">
          <cell r="A82" t="str">
            <v>M345</v>
          </cell>
          <cell r="B82" t="str">
            <v>Chapa de aço n. 28 (fina)</v>
          </cell>
          <cell r="C82" t="str">
            <v>kg</v>
          </cell>
          <cell r="D82">
            <v>1.665</v>
          </cell>
          <cell r="E82" t="str">
            <v>kg</v>
          </cell>
          <cell r="F82">
            <v>1.67</v>
          </cell>
        </row>
        <row r="83">
          <cell r="A83" t="str">
            <v>M346</v>
          </cell>
          <cell r="B83" t="str">
            <v>Chapa de aço n. 16 (tratada)</v>
          </cell>
          <cell r="C83" t="str">
            <v>m2</v>
          </cell>
          <cell r="D83">
            <v>17.5</v>
          </cell>
          <cell r="E83" t="str">
            <v>m2</v>
          </cell>
          <cell r="F83">
            <v>17.5</v>
          </cell>
        </row>
        <row r="84">
          <cell r="A84" t="str">
            <v>M347</v>
          </cell>
          <cell r="B84" t="str">
            <v>Dente p/ fresadora 1000 C</v>
          </cell>
          <cell r="C84" t="str">
            <v>un</v>
          </cell>
          <cell r="D84">
            <v>19.260000000000002</v>
          </cell>
          <cell r="E84" t="str">
            <v>un</v>
          </cell>
          <cell r="F84">
            <v>19.260000000000002</v>
          </cell>
        </row>
        <row r="85">
          <cell r="A85" t="str">
            <v>M348</v>
          </cell>
          <cell r="B85" t="str">
            <v>Porta dente p/ fresadora 1000 C</v>
          </cell>
          <cell r="C85" t="str">
            <v>un</v>
          </cell>
          <cell r="D85">
            <v>42.94</v>
          </cell>
          <cell r="E85" t="str">
            <v>un</v>
          </cell>
          <cell r="F85">
            <v>42.94</v>
          </cell>
        </row>
        <row r="86">
          <cell r="A86" t="str">
            <v>M349</v>
          </cell>
          <cell r="B86" t="str">
            <v>Dente p/ fresadora 2000 DC</v>
          </cell>
          <cell r="C86" t="str">
            <v>un</v>
          </cell>
          <cell r="D86">
            <v>19.260000000000002</v>
          </cell>
          <cell r="E86" t="str">
            <v>un</v>
          </cell>
          <cell r="F86">
            <v>19.260000000000002</v>
          </cell>
        </row>
        <row r="87">
          <cell r="A87" t="str">
            <v>M350</v>
          </cell>
          <cell r="B87" t="str">
            <v>Porta dente p/ fresadora 2000 DC</v>
          </cell>
          <cell r="C87" t="str">
            <v>un</v>
          </cell>
          <cell r="D87">
            <v>68.8</v>
          </cell>
          <cell r="E87" t="str">
            <v>un</v>
          </cell>
          <cell r="F87">
            <v>68.8</v>
          </cell>
        </row>
        <row r="88">
          <cell r="A88" t="str">
            <v>M351</v>
          </cell>
          <cell r="B88" t="str">
            <v>Estrut. (tunnel liner) D=1,6m galv.</v>
          </cell>
          <cell r="C88" t="str">
            <v>m</v>
          </cell>
          <cell r="D88">
            <v>827</v>
          </cell>
          <cell r="E88" t="str">
            <v>m</v>
          </cell>
          <cell r="F88">
            <v>827</v>
          </cell>
        </row>
        <row r="89">
          <cell r="A89" t="str">
            <v>M352</v>
          </cell>
          <cell r="B89" t="str">
            <v>Estrut. (tunnel liner) D=2,0m galv.</v>
          </cell>
          <cell r="C89" t="str">
            <v>m</v>
          </cell>
          <cell r="D89">
            <v>1036</v>
          </cell>
          <cell r="E89" t="str">
            <v>m</v>
          </cell>
          <cell r="F89">
            <v>1036</v>
          </cell>
        </row>
        <row r="90">
          <cell r="A90" t="str">
            <v>M353</v>
          </cell>
          <cell r="B90" t="str">
            <v>Estrut. (tunnel liner) D=1,6m epoxy</v>
          </cell>
          <cell r="C90" t="str">
            <v>m</v>
          </cell>
          <cell r="D90">
            <v>1296</v>
          </cell>
          <cell r="E90" t="str">
            <v>m</v>
          </cell>
          <cell r="F90">
            <v>1296</v>
          </cell>
        </row>
        <row r="91">
          <cell r="A91" t="str">
            <v>M354</v>
          </cell>
          <cell r="B91" t="str">
            <v>Estrut, (tunnel liner) D=2,0m epoxy</v>
          </cell>
          <cell r="C91" t="str">
            <v>m</v>
          </cell>
          <cell r="D91">
            <v>1117</v>
          </cell>
          <cell r="E91" t="str">
            <v>m</v>
          </cell>
          <cell r="F91">
            <v>1117</v>
          </cell>
        </row>
        <row r="92">
          <cell r="A92" t="str">
            <v>M355</v>
          </cell>
          <cell r="B92" t="str">
            <v>Chapa mult. D=1,60 m rev. galv.</v>
          </cell>
          <cell r="C92" t="str">
            <v>m</v>
          </cell>
          <cell r="D92">
            <v>980</v>
          </cell>
          <cell r="E92" t="str">
            <v>m</v>
          </cell>
          <cell r="F92">
            <v>980</v>
          </cell>
        </row>
        <row r="93">
          <cell r="A93" t="str">
            <v>M356</v>
          </cell>
          <cell r="B93" t="str">
            <v>Chapa mult. D=2,00 m rev. galv.</v>
          </cell>
          <cell r="C93" t="str">
            <v>m</v>
          </cell>
          <cell r="D93">
            <v>1225</v>
          </cell>
          <cell r="E93" t="str">
            <v>m</v>
          </cell>
          <cell r="F93">
            <v>1225</v>
          </cell>
        </row>
        <row r="94">
          <cell r="A94" t="str">
            <v>M357</v>
          </cell>
          <cell r="B94" t="str">
            <v>Chapa mult. D=1,60 m rev. epoxy</v>
          </cell>
          <cell r="C94" t="str">
            <v>m</v>
          </cell>
          <cell r="D94">
            <v>1060</v>
          </cell>
          <cell r="E94" t="str">
            <v>m</v>
          </cell>
          <cell r="F94">
            <v>1060</v>
          </cell>
        </row>
        <row r="95">
          <cell r="A95" t="str">
            <v>M358</v>
          </cell>
          <cell r="B95" t="str">
            <v>Chapa mult. D=2,00 m rev. epoxy</v>
          </cell>
          <cell r="C95" t="str">
            <v>m</v>
          </cell>
          <cell r="D95">
            <v>1325</v>
          </cell>
          <cell r="E95" t="str">
            <v>m</v>
          </cell>
          <cell r="F95">
            <v>1325</v>
          </cell>
        </row>
        <row r="96">
          <cell r="A96" t="str">
            <v>M359</v>
          </cell>
          <cell r="B96" t="str">
            <v>Vigas "I" 254 x 117,5mm - 1ª alma</v>
          </cell>
          <cell r="C96" t="str">
            <v>kg</v>
          </cell>
          <cell r="D96">
            <v>1.45</v>
          </cell>
          <cell r="E96" t="str">
            <v>kg</v>
          </cell>
          <cell r="F96">
            <v>1.45</v>
          </cell>
        </row>
        <row r="97">
          <cell r="A97" t="str">
            <v>M370</v>
          </cell>
          <cell r="B97" t="str">
            <v>Bainha metálica diam. int.=45mm MAC</v>
          </cell>
          <cell r="C97" t="str">
            <v>m</v>
          </cell>
          <cell r="D97">
            <v>6.44</v>
          </cell>
          <cell r="E97" t="str">
            <v>m</v>
          </cell>
          <cell r="F97">
            <v>6.44</v>
          </cell>
        </row>
        <row r="98">
          <cell r="A98" t="str">
            <v>M371</v>
          </cell>
          <cell r="B98" t="str">
            <v>Bainha metálica diam. int.=60mm MAC</v>
          </cell>
          <cell r="C98" t="str">
            <v>m</v>
          </cell>
          <cell r="D98">
            <v>9.82</v>
          </cell>
          <cell r="E98" t="str">
            <v>m</v>
          </cell>
          <cell r="F98">
            <v>9.82</v>
          </cell>
        </row>
        <row r="99">
          <cell r="A99" t="str">
            <v>M372</v>
          </cell>
          <cell r="B99" t="str">
            <v>Bainha metálica diam. int.=55mm MAC</v>
          </cell>
          <cell r="C99" t="str">
            <v>m</v>
          </cell>
          <cell r="D99">
            <v>8.42</v>
          </cell>
          <cell r="E99" t="str">
            <v>m</v>
          </cell>
          <cell r="F99">
            <v>8.42</v>
          </cell>
        </row>
        <row r="100">
          <cell r="A100" t="str">
            <v>M373</v>
          </cell>
          <cell r="B100" t="str">
            <v>Bainha metálica diam. int.=70mm MAC</v>
          </cell>
          <cell r="C100" t="str">
            <v>m</v>
          </cell>
          <cell r="D100">
            <v>11.04</v>
          </cell>
          <cell r="E100" t="str">
            <v>m</v>
          </cell>
          <cell r="F100">
            <v>11.04</v>
          </cell>
        </row>
        <row r="101">
          <cell r="A101" t="str">
            <v>M374</v>
          </cell>
          <cell r="B101" t="str">
            <v>Ancoragem p/ cabo 4V D=1/2" MAC 4a</v>
          </cell>
          <cell r="C101" t="str">
            <v>cj</v>
          </cell>
          <cell r="D101">
            <v>142.43</v>
          </cell>
          <cell r="E101" t="str">
            <v>cj</v>
          </cell>
          <cell r="F101">
            <v>142.43</v>
          </cell>
        </row>
        <row r="102">
          <cell r="A102" t="str">
            <v>M375</v>
          </cell>
          <cell r="B102" t="str">
            <v>Ancoragem p/ cabo 6V D=1/2" MAC 6ac</v>
          </cell>
          <cell r="C102" t="str">
            <v>cj</v>
          </cell>
          <cell r="D102">
            <v>223.36</v>
          </cell>
          <cell r="E102" t="str">
            <v>cj</v>
          </cell>
          <cell r="F102">
            <v>223.36</v>
          </cell>
        </row>
        <row r="103">
          <cell r="A103" t="str">
            <v>M376</v>
          </cell>
          <cell r="B103" t="str">
            <v>Ancoragem p/ cabo 7V D=1/2" MAC 7a</v>
          </cell>
          <cell r="C103" t="str">
            <v>cj</v>
          </cell>
          <cell r="D103">
            <v>431.11</v>
          </cell>
          <cell r="E103" t="str">
            <v>cj</v>
          </cell>
          <cell r="F103">
            <v>431.11</v>
          </cell>
        </row>
        <row r="104">
          <cell r="A104" t="str">
            <v>M377</v>
          </cell>
          <cell r="B104" t="str">
            <v>Ancoragem p/ cabo 12V D=1/2" MAC 12</v>
          </cell>
          <cell r="C104" t="str">
            <v>cj</v>
          </cell>
          <cell r="D104">
            <v>452.67</v>
          </cell>
          <cell r="E104" t="str">
            <v>cj</v>
          </cell>
          <cell r="F104">
            <v>452.67</v>
          </cell>
        </row>
        <row r="105">
          <cell r="A105" t="str">
            <v>M378</v>
          </cell>
          <cell r="B105" t="str">
            <v>Apoio do porta dente frezad. 2000DC</v>
          </cell>
          <cell r="C105" t="str">
            <v>un</v>
          </cell>
          <cell r="D105">
            <v>145.94999999999999</v>
          </cell>
          <cell r="E105" t="str">
            <v>un</v>
          </cell>
          <cell r="F105">
            <v>145.94999999999999</v>
          </cell>
        </row>
        <row r="106">
          <cell r="A106" t="str">
            <v>M380</v>
          </cell>
          <cell r="B106" t="str">
            <v>Bainha metálica D=45mm STUP</v>
          </cell>
          <cell r="C106" t="str">
            <v>m</v>
          </cell>
          <cell r="D106">
            <v>7.4</v>
          </cell>
          <cell r="E106" t="str">
            <v>m</v>
          </cell>
          <cell r="F106">
            <v>7.4</v>
          </cell>
        </row>
        <row r="107">
          <cell r="A107" t="str">
            <v>M381</v>
          </cell>
          <cell r="B107" t="str">
            <v>Bainha metálica D=60mm STUP</v>
          </cell>
          <cell r="C107" t="str">
            <v>m</v>
          </cell>
          <cell r="D107">
            <v>8.9</v>
          </cell>
          <cell r="E107" t="str">
            <v>m</v>
          </cell>
          <cell r="F107">
            <v>8.9</v>
          </cell>
        </row>
        <row r="108">
          <cell r="A108" t="str">
            <v>M382</v>
          </cell>
          <cell r="B108" t="str">
            <v>Bainha metálica D=55mm STUP</v>
          </cell>
          <cell r="C108" t="str">
            <v>m</v>
          </cell>
          <cell r="D108">
            <v>8.6</v>
          </cell>
          <cell r="E108" t="str">
            <v>m</v>
          </cell>
          <cell r="F108">
            <v>8.6</v>
          </cell>
        </row>
        <row r="109">
          <cell r="A109" t="str">
            <v>M383</v>
          </cell>
          <cell r="B109" t="str">
            <v>Bainha metálica D=70mm STUP</v>
          </cell>
          <cell r="C109" t="str">
            <v>m</v>
          </cell>
          <cell r="D109">
            <v>9.8000000000000007</v>
          </cell>
          <cell r="E109" t="str">
            <v>m</v>
          </cell>
          <cell r="F109">
            <v>9.8000000000000007</v>
          </cell>
        </row>
        <row r="110">
          <cell r="A110" t="str">
            <v>M384</v>
          </cell>
          <cell r="B110" t="str">
            <v>Ancoragem p/ cabo 4V D=1/2" STUP</v>
          </cell>
          <cell r="C110" t="str">
            <v>cj</v>
          </cell>
          <cell r="D110">
            <v>117</v>
          </cell>
          <cell r="E110" t="str">
            <v>cj</v>
          </cell>
          <cell r="F110">
            <v>117</v>
          </cell>
        </row>
        <row r="111">
          <cell r="A111" t="str">
            <v>M385</v>
          </cell>
          <cell r="B111" t="str">
            <v>Ancoragem p/ cabo 6V D=1/2" STUP</v>
          </cell>
          <cell r="C111" t="str">
            <v>cj</v>
          </cell>
          <cell r="D111">
            <v>175</v>
          </cell>
          <cell r="E111" t="str">
            <v>cj</v>
          </cell>
          <cell r="F111">
            <v>175</v>
          </cell>
        </row>
        <row r="112">
          <cell r="A112" t="str">
            <v>M386</v>
          </cell>
          <cell r="B112" t="str">
            <v>Ancoragem p/ cabo 7V D=1/2" STUP</v>
          </cell>
          <cell r="C112" t="str">
            <v>cj</v>
          </cell>
          <cell r="D112">
            <v>209</v>
          </cell>
          <cell r="E112" t="str">
            <v>cj</v>
          </cell>
          <cell r="F112">
            <v>209</v>
          </cell>
        </row>
        <row r="113">
          <cell r="A113" t="str">
            <v>M387</v>
          </cell>
          <cell r="B113" t="str">
            <v>Ancoragem p/ cabo 12V D=1/2" STUP</v>
          </cell>
          <cell r="C113" t="str">
            <v>cj</v>
          </cell>
          <cell r="D113">
            <v>415</v>
          </cell>
          <cell r="E113" t="str">
            <v>cj</v>
          </cell>
          <cell r="F113">
            <v>415</v>
          </cell>
        </row>
        <row r="114">
          <cell r="A114" t="str">
            <v>M390</v>
          </cell>
          <cell r="B114" t="str">
            <v>Porca de ancoragem D=32mm</v>
          </cell>
          <cell r="C114" t="str">
            <v>un</v>
          </cell>
          <cell r="D114">
            <v>14.3</v>
          </cell>
          <cell r="E114" t="str">
            <v>un</v>
          </cell>
          <cell r="F114">
            <v>14.3</v>
          </cell>
        </row>
        <row r="115">
          <cell r="A115" t="str">
            <v>M391</v>
          </cell>
          <cell r="B115" t="str">
            <v>Contra porca h=35mm D=32mm</v>
          </cell>
          <cell r="C115" t="str">
            <v>un</v>
          </cell>
          <cell r="D115">
            <v>10.45</v>
          </cell>
          <cell r="E115" t="str">
            <v>un</v>
          </cell>
          <cell r="F115">
            <v>10.45</v>
          </cell>
        </row>
        <row r="116">
          <cell r="A116" t="str">
            <v>M392</v>
          </cell>
          <cell r="B116" t="str">
            <v>Aço ST 85/105 D=32mm</v>
          </cell>
          <cell r="C116" t="str">
            <v>m</v>
          </cell>
          <cell r="D116">
            <v>21.52</v>
          </cell>
          <cell r="E116" t="str">
            <v>m</v>
          </cell>
          <cell r="F116">
            <v>21.52</v>
          </cell>
        </row>
        <row r="117">
          <cell r="A117" t="str">
            <v>M393</v>
          </cell>
          <cell r="B117" t="str">
            <v>Placa de ancoragem - 200x200x38mm</v>
          </cell>
          <cell r="C117" t="str">
            <v>un</v>
          </cell>
          <cell r="D117">
            <v>48.3</v>
          </cell>
          <cell r="E117" t="str">
            <v>un</v>
          </cell>
          <cell r="F117">
            <v>48.3</v>
          </cell>
        </row>
        <row r="118">
          <cell r="A118" t="str">
            <v>M394</v>
          </cell>
          <cell r="B118" t="str">
            <v>Bainha metálica D=38mm</v>
          </cell>
          <cell r="C118" t="str">
            <v>m</v>
          </cell>
          <cell r="D118">
            <v>6</v>
          </cell>
          <cell r="E118" t="str">
            <v>m</v>
          </cell>
          <cell r="F118">
            <v>6</v>
          </cell>
        </row>
        <row r="119">
          <cell r="A119" t="str">
            <v>M395</v>
          </cell>
          <cell r="B119" t="str">
            <v>Bits p/ estabil. e recicl. RR/SS250</v>
          </cell>
          <cell r="C119" t="str">
            <v>un</v>
          </cell>
          <cell r="D119">
            <v>25</v>
          </cell>
          <cell r="E119" t="str">
            <v>un</v>
          </cell>
          <cell r="F119">
            <v>25</v>
          </cell>
        </row>
        <row r="120">
          <cell r="A120" t="str">
            <v>M396</v>
          </cell>
          <cell r="B120" t="str">
            <v>Porta dente p/ est. e rec. RR/SS250</v>
          </cell>
          <cell r="C120" t="str">
            <v>un</v>
          </cell>
          <cell r="D120">
            <v>161.83000000000001</v>
          </cell>
          <cell r="E120" t="str">
            <v>un</v>
          </cell>
          <cell r="F120">
            <v>161.83000000000001</v>
          </cell>
        </row>
        <row r="121">
          <cell r="A121" t="str">
            <v>M397</v>
          </cell>
          <cell r="B121" t="str">
            <v>Dente de corte para equip. recicl.</v>
          </cell>
          <cell r="C121" t="str">
            <v>un</v>
          </cell>
          <cell r="D121">
            <v>40.950000000000003</v>
          </cell>
          <cell r="E121" t="str">
            <v>un</v>
          </cell>
          <cell r="F121">
            <v>40.950000000000003</v>
          </cell>
        </row>
        <row r="122">
          <cell r="A122" t="str">
            <v>M398</v>
          </cell>
          <cell r="B122" t="str">
            <v>Chapa de 8,00 mm</v>
          </cell>
          <cell r="C122" t="str">
            <v>kg</v>
          </cell>
          <cell r="D122">
            <v>0.91</v>
          </cell>
          <cell r="E122" t="str">
            <v>kg</v>
          </cell>
          <cell r="F122">
            <v>0.91</v>
          </cell>
        </row>
        <row r="123">
          <cell r="A123" t="str">
            <v>M401</v>
          </cell>
          <cell r="B123" t="str">
            <v>Pontaletes D=15 cm (tronco p/ esc.)</v>
          </cell>
          <cell r="C123" t="str">
            <v>m</v>
          </cell>
          <cell r="D123">
            <v>1.5</v>
          </cell>
          <cell r="E123" t="str">
            <v>m</v>
          </cell>
          <cell r="F123">
            <v>1.5</v>
          </cell>
        </row>
        <row r="124">
          <cell r="A124" t="str">
            <v>M402</v>
          </cell>
          <cell r="B124" t="str">
            <v>Pontaletes D=20 cm (tronco p/ esc.)</v>
          </cell>
          <cell r="C124" t="str">
            <v>m</v>
          </cell>
          <cell r="D124">
            <v>2</v>
          </cell>
          <cell r="E124" t="str">
            <v>m</v>
          </cell>
          <cell r="F124">
            <v>2</v>
          </cell>
        </row>
        <row r="125">
          <cell r="A125" t="str">
            <v>M403</v>
          </cell>
          <cell r="B125" t="str">
            <v>Mourão madeira H=2,15 m D=9 cm</v>
          </cell>
          <cell r="C125" t="str">
            <v>un</v>
          </cell>
          <cell r="D125">
            <v>4.5</v>
          </cell>
          <cell r="E125" t="str">
            <v>un</v>
          </cell>
          <cell r="F125">
            <v>4.5</v>
          </cell>
        </row>
        <row r="126">
          <cell r="A126" t="str">
            <v>M404</v>
          </cell>
          <cell r="B126" t="str">
            <v>Mourão madeira H=2,50 m D=12 cm</v>
          </cell>
          <cell r="C126" t="str">
            <v>un</v>
          </cell>
          <cell r="D126">
            <v>4.5</v>
          </cell>
          <cell r="E126" t="str">
            <v>un</v>
          </cell>
          <cell r="F126">
            <v>4.5</v>
          </cell>
        </row>
        <row r="127">
          <cell r="A127" t="str">
            <v>M405</v>
          </cell>
          <cell r="B127" t="str">
            <v>Ripas de 2,5 cm x 5,0 cm</v>
          </cell>
          <cell r="C127" t="str">
            <v>m</v>
          </cell>
          <cell r="D127">
            <v>0.39</v>
          </cell>
          <cell r="E127" t="str">
            <v>m</v>
          </cell>
          <cell r="F127">
            <v>0.39</v>
          </cell>
        </row>
        <row r="128">
          <cell r="A128" t="str">
            <v>M406</v>
          </cell>
          <cell r="B128" t="str">
            <v>Caibros de 7,5 cm x 7,5 cm</v>
          </cell>
          <cell r="C128" t="str">
            <v>m</v>
          </cell>
          <cell r="D128">
            <v>3</v>
          </cell>
          <cell r="E128" t="str">
            <v>m</v>
          </cell>
          <cell r="F128">
            <v>3</v>
          </cell>
        </row>
        <row r="129">
          <cell r="A129" t="str">
            <v>M407</v>
          </cell>
          <cell r="B129" t="str">
            <v>Tábua pinho de 1ª 2,5 cm x 15,0 cm</v>
          </cell>
          <cell r="C129" t="str">
            <v>m</v>
          </cell>
          <cell r="D129">
            <v>1.2</v>
          </cell>
          <cell r="E129" t="str">
            <v>m</v>
          </cell>
          <cell r="F129">
            <v>1.2</v>
          </cell>
        </row>
        <row r="130">
          <cell r="A130" t="str">
            <v>M408</v>
          </cell>
          <cell r="B130" t="str">
            <v>Tábua de 5ª 2,5 cm x 30,0 cm</v>
          </cell>
          <cell r="C130" t="str">
            <v>m</v>
          </cell>
          <cell r="D130">
            <v>2.2999999999999998</v>
          </cell>
          <cell r="E130" t="str">
            <v>m</v>
          </cell>
          <cell r="F130">
            <v>2.2999999999999998</v>
          </cell>
        </row>
        <row r="131">
          <cell r="A131" t="str">
            <v>M409</v>
          </cell>
          <cell r="B131" t="str">
            <v>Pranchão de 1ª de 5,0 cm x 30,0 cm</v>
          </cell>
          <cell r="C131" t="str">
            <v>m</v>
          </cell>
          <cell r="D131">
            <v>10</v>
          </cell>
          <cell r="E131" t="str">
            <v>m</v>
          </cell>
          <cell r="F131">
            <v>10</v>
          </cell>
        </row>
        <row r="132">
          <cell r="A132" t="str">
            <v>M410</v>
          </cell>
          <cell r="B132" t="str">
            <v>Compensado resinado de 17 mm</v>
          </cell>
          <cell r="C132" t="str">
            <v>m2</v>
          </cell>
          <cell r="D132">
            <v>10</v>
          </cell>
          <cell r="E132" t="str">
            <v>un</v>
          </cell>
          <cell r="F132">
            <v>24.2</v>
          </cell>
        </row>
        <row r="133">
          <cell r="A133" t="str">
            <v>M411</v>
          </cell>
          <cell r="B133" t="str">
            <v>Compensado plastificado de 17 mm</v>
          </cell>
          <cell r="C133" t="str">
            <v>m2</v>
          </cell>
          <cell r="D133">
            <v>18</v>
          </cell>
          <cell r="E133" t="str">
            <v>un</v>
          </cell>
          <cell r="F133">
            <v>53.46</v>
          </cell>
        </row>
        <row r="134">
          <cell r="A134" t="str">
            <v>M412</v>
          </cell>
          <cell r="B134" t="str">
            <v>Gastalho 10 x 2,0 cm</v>
          </cell>
          <cell r="C134" t="str">
            <v>m</v>
          </cell>
          <cell r="D134">
            <v>1</v>
          </cell>
          <cell r="E134" t="str">
            <v>m</v>
          </cell>
          <cell r="F134">
            <v>1</v>
          </cell>
        </row>
        <row r="135">
          <cell r="A135" t="str">
            <v>M413</v>
          </cell>
          <cell r="B135" t="str">
            <v>Gastalho 10 x 2,5 cm</v>
          </cell>
          <cell r="C135" t="str">
            <v>m</v>
          </cell>
          <cell r="D135">
            <v>0.85</v>
          </cell>
          <cell r="E135" t="str">
            <v>m</v>
          </cell>
          <cell r="F135">
            <v>0.85</v>
          </cell>
        </row>
        <row r="136">
          <cell r="A136" t="str">
            <v>M414</v>
          </cell>
          <cell r="B136" t="str">
            <v>Pranchão 7,5 x 30,0 cm</v>
          </cell>
          <cell r="C136" t="str">
            <v>m</v>
          </cell>
          <cell r="D136">
            <v>13.7</v>
          </cell>
          <cell r="E136" t="str">
            <v>un</v>
          </cell>
          <cell r="F136">
            <v>13.7</v>
          </cell>
        </row>
        <row r="137">
          <cell r="A137" t="str">
            <v>M415</v>
          </cell>
          <cell r="B137" t="str">
            <v>Tábua 2,5 x 22,5 cm</v>
          </cell>
          <cell r="C137" t="str">
            <v>m</v>
          </cell>
          <cell r="D137">
            <v>1.8</v>
          </cell>
          <cell r="E137" t="str">
            <v>un</v>
          </cell>
          <cell r="F137">
            <v>1.8</v>
          </cell>
        </row>
        <row r="138">
          <cell r="A138" t="str">
            <v>M501</v>
          </cell>
          <cell r="B138" t="str">
            <v>Dinamite a 60% (gelatina especial)</v>
          </cell>
          <cell r="C138" t="str">
            <v>kg</v>
          </cell>
          <cell r="D138">
            <v>1.76</v>
          </cell>
          <cell r="E138" t="str">
            <v>kg</v>
          </cell>
          <cell r="F138">
            <v>1.76</v>
          </cell>
        </row>
        <row r="139">
          <cell r="A139" t="str">
            <v>M503</v>
          </cell>
          <cell r="B139" t="str">
            <v>Espoleta comum n. 8</v>
          </cell>
          <cell r="C139" t="str">
            <v>un</v>
          </cell>
          <cell r="D139">
            <v>0.15</v>
          </cell>
          <cell r="E139" t="str">
            <v>un</v>
          </cell>
          <cell r="F139">
            <v>0.15</v>
          </cell>
        </row>
        <row r="140">
          <cell r="A140" t="str">
            <v>M505</v>
          </cell>
          <cell r="B140" t="str">
            <v>Cordel detonante NP 10</v>
          </cell>
          <cell r="C140" t="str">
            <v>m</v>
          </cell>
          <cell r="D140">
            <v>0.28999999999999998</v>
          </cell>
          <cell r="E140" t="str">
            <v>m</v>
          </cell>
          <cell r="F140">
            <v>0.28999999999999998</v>
          </cell>
        </row>
        <row r="141">
          <cell r="A141" t="str">
            <v>M507</v>
          </cell>
          <cell r="B141" t="str">
            <v>Retardador de cordel</v>
          </cell>
          <cell r="C141" t="str">
            <v>un</v>
          </cell>
          <cell r="D141">
            <v>4</v>
          </cell>
          <cell r="E141" t="str">
            <v>un</v>
          </cell>
          <cell r="F141">
            <v>4</v>
          </cell>
        </row>
        <row r="142">
          <cell r="A142" t="str">
            <v>M508</v>
          </cell>
          <cell r="B142" t="str">
            <v>Estopim</v>
          </cell>
          <cell r="C142" t="str">
            <v>m</v>
          </cell>
          <cell r="D142">
            <v>0.28999999999999998</v>
          </cell>
          <cell r="E142" t="str">
            <v>m</v>
          </cell>
          <cell r="F142">
            <v>0.28999999999999998</v>
          </cell>
        </row>
        <row r="143">
          <cell r="A143" t="str">
            <v>M600</v>
          </cell>
          <cell r="B143" t="str">
            <v>Tinta refletiva alquídica p/ 1 ano</v>
          </cell>
          <cell r="C143" t="str">
            <v>l</v>
          </cell>
          <cell r="D143">
            <v>5.5660999999999996</v>
          </cell>
          <cell r="E143" t="str">
            <v>ba</v>
          </cell>
          <cell r="F143">
            <v>100.19</v>
          </cell>
        </row>
        <row r="144">
          <cell r="A144" t="str">
            <v>M601</v>
          </cell>
          <cell r="B144" t="str">
            <v>Tinta refletiva acrílica p/ 2 anos</v>
          </cell>
          <cell r="C144" t="str">
            <v>l</v>
          </cell>
          <cell r="D144">
            <v>6.72</v>
          </cell>
          <cell r="E144" t="str">
            <v>ba</v>
          </cell>
          <cell r="F144">
            <v>120.96</v>
          </cell>
        </row>
        <row r="145">
          <cell r="A145" t="str">
            <v>M602</v>
          </cell>
          <cell r="B145" t="str">
            <v>Adubo NPK (4.14.8)</v>
          </cell>
          <cell r="C145" t="str">
            <v>kg</v>
          </cell>
          <cell r="D145">
            <v>0.5</v>
          </cell>
          <cell r="E145" t="str">
            <v>kg</v>
          </cell>
          <cell r="F145">
            <v>0.5</v>
          </cell>
        </row>
        <row r="146">
          <cell r="A146" t="str">
            <v>M603</v>
          </cell>
          <cell r="B146" t="str">
            <v>Inseticida</v>
          </cell>
          <cell r="C146" t="str">
            <v>l</v>
          </cell>
          <cell r="D146">
            <v>18</v>
          </cell>
          <cell r="E146" t="str">
            <v>l</v>
          </cell>
          <cell r="F146">
            <v>18</v>
          </cell>
        </row>
        <row r="147">
          <cell r="A147" t="str">
            <v>M604</v>
          </cell>
          <cell r="B147" t="str">
            <v>Aditivo plastiment BV-40</v>
          </cell>
          <cell r="C147" t="str">
            <v>kg</v>
          </cell>
          <cell r="D147">
            <v>1.6</v>
          </cell>
          <cell r="E147" t="str">
            <v>tam</v>
          </cell>
          <cell r="F147">
            <v>320</v>
          </cell>
        </row>
        <row r="148">
          <cell r="A148" t="str">
            <v>M605</v>
          </cell>
          <cell r="B148" t="str">
            <v>Cola para tubo PVC</v>
          </cell>
          <cell r="C148" t="str">
            <v>gr</v>
          </cell>
          <cell r="D148">
            <v>1.55E-2</v>
          </cell>
          <cell r="E148" t="str">
            <v>tb</v>
          </cell>
          <cell r="F148">
            <v>1.1599999999999999</v>
          </cell>
        </row>
        <row r="149">
          <cell r="A149" t="str">
            <v>M606</v>
          </cell>
          <cell r="B149" t="str">
            <v>Tinta anti-corrosiva</v>
          </cell>
          <cell r="C149" t="str">
            <v>l</v>
          </cell>
          <cell r="D149">
            <v>6.95</v>
          </cell>
          <cell r="E149" t="str">
            <v>ba</v>
          </cell>
          <cell r="F149">
            <v>125.1</v>
          </cell>
        </row>
        <row r="150">
          <cell r="A150" t="str">
            <v>M607</v>
          </cell>
          <cell r="B150" t="str">
            <v>Óleo de linhaça</v>
          </cell>
          <cell r="C150" t="str">
            <v>l</v>
          </cell>
          <cell r="D150">
            <v>5.4</v>
          </cell>
          <cell r="E150" t="str">
            <v>tam</v>
          </cell>
          <cell r="F150">
            <v>1080</v>
          </cell>
        </row>
        <row r="151">
          <cell r="A151" t="str">
            <v>M608</v>
          </cell>
          <cell r="B151" t="str">
            <v>Detergente</v>
          </cell>
          <cell r="C151" t="str">
            <v>l</v>
          </cell>
          <cell r="D151">
            <v>0.94</v>
          </cell>
          <cell r="E151" t="str">
            <v>ba</v>
          </cell>
          <cell r="F151">
            <v>16.920000000000002</v>
          </cell>
        </row>
        <row r="152">
          <cell r="A152" t="str">
            <v>M609</v>
          </cell>
          <cell r="B152" t="str">
            <v>Tinta esmalte sintético fosco</v>
          </cell>
          <cell r="C152" t="str">
            <v>l</v>
          </cell>
          <cell r="D152">
            <v>7.78</v>
          </cell>
          <cell r="E152" t="str">
            <v>ba</v>
          </cell>
          <cell r="F152">
            <v>140.04</v>
          </cell>
        </row>
        <row r="153">
          <cell r="A153" t="str">
            <v>M610</v>
          </cell>
          <cell r="B153" t="str">
            <v>Pintura epóxica - barra D= 32mm</v>
          </cell>
          <cell r="C153" t="str">
            <v>m</v>
          </cell>
          <cell r="D153">
            <v>3.67</v>
          </cell>
          <cell r="E153" t="str">
            <v>m</v>
          </cell>
          <cell r="F153">
            <v>3.67</v>
          </cell>
        </row>
        <row r="154">
          <cell r="A154" t="str">
            <v>M611</v>
          </cell>
          <cell r="B154" t="str">
            <v>Redutor tipo 2002 prim. qualidade</v>
          </cell>
          <cell r="C154" t="str">
            <v>l</v>
          </cell>
          <cell r="D154">
            <v>3.2669999999999999</v>
          </cell>
          <cell r="E154" t="str">
            <v>l</v>
          </cell>
          <cell r="F154">
            <v>3.27</v>
          </cell>
        </row>
        <row r="155">
          <cell r="A155" t="str">
            <v>M612</v>
          </cell>
          <cell r="B155" t="str">
            <v>Lixa para ferro n. 100</v>
          </cell>
          <cell r="C155" t="str">
            <v>un</v>
          </cell>
          <cell r="D155">
            <v>0.75</v>
          </cell>
          <cell r="E155" t="str">
            <v>un</v>
          </cell>
          <cell r="F155">
            <v>0.75</v>
          </cell>
        </row>
        <row r="156">
          <cell r="A156" t="str">
            <v>M613</v>
          </cell>
          <cell r="B156" t="str">
            <v>Base de resina alquídica (primer)</v>
          </cell>
          <cell r="C156" t="str">
            <v>l</v>
          </cell>
          <cell r="D156">
            <v>4.88</v>
          </cell>
          <cell r="E156" t="str">
            <v>l</v>
          </cell>
          <cell r="F156">
            <v>4.88</v>
          </cell>
        </row>
        <row r="157">
          <cell r="A157" t="str">
            <v>M615</v>
          </cell>
          <cell r="B157" t="str">
            <v>Microesferas PRE-MIX</v>
          </cell>
          <cell r="C157" t="str">
            <v>kg</v>
          </cell>
          <cell r="D157">
            <v>2.3759999999999999</v>
          </cell>
          <cell r="E157" t="str">
            <v>kg</v>
          </cell>
          <cell r="F157">
            <v>2.38</v>
          </cell>
        </row>
        <row r="158">
          <cell r="A158" t="str">
            <v>M616</v>
          </cell>
          <cell r="B158" t="str">
            <v>Microesferas DROP-ON</v>
          </cell>
          <cell r="C158" t="str">
            <v>kg</v>
          </cell>
          <cell r="D158">
            <v>2.379</v>
          </cell>
          <cell r="E158" t="str">
            <v>kg</v>
          </cell>
          <cell r="F158">
            <v>2.38</v>
          </cell>
        </row>
        <row r="159">
          <cell r="A159" t="str">
            <v>M617</v>
          </cell>
          <cell r="B159" t="str">
            <v>Massa termoplástica para extrusão</v>
          </cell>
          <cell r="C159" t="str">
            <v>kg</v>
          </cell>
          <cell r="D159">
            <v>2.97</v>
          </cell>
          <cell r="E159" t="str">
            <v>kg</v>
          </cell>
          <cell r="F159">
            <v>2.97</v>
          </cell>
        </row>
        <row r="160">
          <cell r="A160" t="str">
            <v>M618</v>
          </cell>
          <cell r="B160" t="str">
            <v>Massa termoplástica para aspersão</v>
          </cell>
          <cell r="C160" t="str">
            <v>kg</v>
          </cell>
          <cell r="D160">
            <v>3.5089999999999999</v>
          </cell>
          <cell r="E160" t="str">
            <v>kg</v>
          </cell>
          <cell r="F160">
            <v>3.51</v>
          </cell>
        </row>
        <row r="161">
          <cell r="A161" t="str">
            <v>M619</v>
          </cell>
          <cell r="B161" t="str">
            <v>Cola poliester</v>
          </cell>
          <cell r="C161" t="str">
            <v>kg</v>
          </cell>
          <cell r="D161">
            <v>6.9</v>
          </cell>
          <cell r="E161" t="str">
            <v>kg</v>
          </cell>
          <cell r="F161">
            <v>6.9</v>
          </cell>
        </row>
        <row r="162">
          <cell r="A162" t="str">
            <v>M620</v>
          </cell>
          <cell r="B162" t="str">
            <v>Protetor de cura do concreto</v>
          </cell>
          <cell r="C162" t="str">
            <v>kg</v>
          </cell>
          <cell r="D162">
            <v>3.6246999999999998</v>
          </cell>
          <cell r="E162" t="str">
            <v>tam</v>
          </cell>
          <cell r="F162">
            <v>652.45000000000005</v>
          </cell>
        </row>
        <row r="163">
          <cell r="A163" t="str">
            <v>M621</v>
          </cell>
          <cell r="B163" t="str">
            <v>Desmoldante</v>
          </cell>
          <cell r="C163" t="str">
            <v>kg</v>
          </cell>
          <cell r="D163">
            <v>3.1371000000000002</v>
          </cell>
          <cell r="E163" t="str">
            <v>tam</v>
          </cell>
          <cell r="F163">
            <v>693.3</v>
          </cell>
        </row>
        <row r="164">
          <cell r="A164" t="str">
            <v>M622</v>
          </cell>
          <cell r="B164" t="str">
            <v>Interplast N</v>
          </cell>
          <cell r="C164" t="str">
            <v>kg</v>
          </cell>
          <cell r="D164">
            <v>4.7584999999999997</v>
          </cell>
          <cell r="E164" t="str">
            <v>sc</v>
          </cell>
          <cell r="F164">
            <v>95.17</v>
          </cell>
        </row>
        <row r="165">
          <cell r="A165" t="str">
            <v>M623</v>
          </cell>
          <cell r="B165" t="str">
            <v>Gás propano</v>
          </cell>
          <cell r="C165" t="str">
            <v>kg</v>
          </cell>
          <cell r="D165">
            <v>2.2400000000000002</v>
          </cell>
          <cell r="E165" t="str">
            <v>kg</v>
          </cell>
          <cell r="F165">
            <v>2.2400000000000002</v>
          </cell>
        </row>
        <row r="166">
          <cell r="A166" t="str">
            <v>M624</v>
          </cell>
          <cell r="B166" t="str">
            <v>Tinta para pré-marcação</v>
          </cell>
          <cell r="C166" t="str">
            <v>l</v>
          </cell>
          <cell r="D166">
            <v>6.2</v>
          </cell>
          <cell r="E166" t="str">
            <v>l</v>
          </cell>
          <cell r="F166">
            <v>6.2</v>
          </cell>
        </row>
        <row r="167">
          <cell r="A167" t="str">
            <v>M625</v>
          </cell>
          <cell r="B167" t="str">
            <v>Acetileno</v>
          </cell>
          <cell r="C167" t="str">
            <v>m3</v>
          </cell>
          <cell r="D167">
            <v>18.190000000000001</v>
          </cell>
          <cell r="E167" t="str">
            <v>m3</v>
          </cell>
          <cell r="F167">
            <v>18.190000000000001</v>
          </cell>
        </row>
        <row r="168">
          <cell r="A168" t="str">
            <v>M626</v>
          </cell>
          <cell r="B168" t="str">
            <v>Oxigênio</v>
          </cell>
          <cell r="C168" t="str">
            <v>m3</v>
          </cell>
          <cell r="D168">
            <v>7.2880000000000003</v>
          </cell>
          <cell r="E168" t="str">
            <v>m3</v>
          </cell>
          <cell r="F168">
            <v>7.29</v>
          </cell>
        </row>
        <row r="169">
          <cell r="A169" t="str">
            <v>M700</v>
          </cell>
          <cell r="B169" t="str">
            <v>Tijolo comum maciço (5,5x9x19) cm</v>
          </cell>
          <cell r="C169" t="str">
            <v>un</v>
          </cell>
          <cell r="D169">
            <v>0.14000000000000001</v>
          </cell>
          <cell r="E169" t="str">
            <v>mlh</v>
          </cell>
          <cell r="F169">
            <v>140</v>
          </cell>
        </row>
        <row r="170">
          <cell r="A170" t="str">
            <v>M702</v>
          </cell>
          <cell r="B170" t="str">
            <v>Cal hidratada</v>
          </cell>
          <cell r="C170" t="str">
            <v>kg</v>
          </cell>
          <cell r="D170">
            <v>0.12</v>
          </cell>
          <cell r="E170" t="str">
            <v>sc</v>
          </cell>
          <cell r="F170">
            <v>2.4</v>
          </cell>
        </row>
        <row r="171">
          <cell r="A171" t="str">
            <v>M703</v>
          </cell>
          <cell r="B171" t="str">
            <v>Tijolo 20 x 30 cm</v>
          </cell>
          <cell r="C171" t="str">
            <v>un</v>
          </cell>
          <cell r="D171">
            <v>0.1</v>
          </cell>
          <cell r="E171" t="str">
            <v>mlh</v>
          </cell>
          <cell r="F171">
            <v>100</v>
          </cell>
        </row>
        <row r="172">
          <cell r="A172" t="str">
            <v>M704</v>
          </cell>
          <cell r="B172" t="str">
            <v>Areia lavada</v>
          </cell>
          <cell r="C172" t="str">
            <v>m3</v>
          </cell>
          <cell r="D172">
            <v>6</v>
          </cell>
          <cell r="E172" t="str">
            <v>m3</v>
          </cell>
          <cell r="F172">
            <v>6</v>
          </cell>
        </row>
        <row r="173">
          <cell r="A173" t="str">
            <v>M705</v>
          </cell>
          <cell r="B173" t="str">
            <v>Pó de pedra</v>
          </cell>
          <cell r="C173" t="str">
            <v>m3</v>
          </cell>
          <cell r="D173">
            <v>8</v>
          </cell>
          <cell r="E173" t="str">
            <v>m3</v>
          </cell>
          <cell r="F173">
            <v>8</v>
          </cell>
        </row>
        <row r="174">
          <cell r="A174" t="str">
            <v>M709</v>
          </cell>
          <cell r="B174" t="str">
            <v>Brita corrida</v>
          </cell>
          <cell r="C174" t="str">
            <v>m3</v>
          </cell>
          <cell r="D174">
            <v>18</v>
          </cell>
          <cell r="E174" t="str">
            <v>m3</v>
          </cell>
          <cell r="F174">
            <v>18</v>
          </cell>
        </row>
        <row r="175">
          <cell r="A175" t="str">
            <v>M710</v>
          </cell>
          <cell r="B175" t="str">
            <v>Pedra de mão</v>
          </cell>
          <cell r="C175" t="str">
            <v>m3</v>
          </cell>
          <cell r="D175">
            <v>15</v>
          </cell>
          <cell r="E175" t="str">
            <v>m3</v>
          </cell>
          <cell r="F175">
            <v>15</v>
          </cell>
        </row>
        <row r="176">
          <cell r="A176" t="str">
            <v>M715</v>
          </cell>
          <cell r="B176" t="str">
            <v>Pó calcário dolomítico</v>
          </cell>
          <cell r="C176" t="str">
            <v>kg</v>
          </cell>
          <cell r="D176">
            <v>0.08</v>
          </cell>
          <cell r="E176" t="str">
            <v>kg</v>
          </cell>
          <cell r="F176">
            <v>0.08</v>
          </cell>
        </row>
        <row r="177">
          <cell r="A177" t="str">
            <v>M901</v>
          </cell>
          <cell r="B177" t="str">
            <v>Aparelho de apoio neoprene fretado</v>
          </cell>
          <cell r="C177" t="str">
            <v>dm3</v>
          </cell>
          <cell r="D177">
            <v>62.95</v>
          </cell>
          <cell r="E177" t="str">
            <v>dm3</v>
          </cell>
          <cell r="F177">
            <v>62.95</v>
          </cell>
        </row>
        <row r="178">
          <cell r="A178" t="str">
            <v>M902</v>
          </cell>
          <cell r="B178" t="str">
            <v>Tubo de PVC D=75 mm</v>
          </cell>
          <cell r="C178" t="str">
            <v>m</v>
          </cell>
          <cell r="D178">
            <v>2.57</v>
          </cell>
          <cell r="E178" t="str">
            <v>vr</v>
          </cell>
          <cell r="F178">
            <v>15.42</v>
          </cell>
        </row>
        <row r="179">
          <cell r="A179" t="str">
            <v>M903</v>
          </cell>
          <cell r="B179" t="str">
            <v>Manta sintética (Bidim) OP-20</v>
          </cell>
          <cell r="C179" t="str">
            <v>m2</v>
          </cell>
          <cell r="D179">
            <v>3.15</v>
          </cell>
          <cell r="E179" t="str">
            <v>m2</v>
          </cell>
          <cell r="F179">
            <v>3.15</v>
          </cell>
        </row>
        <row r="180">
          <cell r="A180" t="str">
            <v>M904</v>
          </cell>
          <cell r="B180" t="str">
            <v>Manta sintética (Bidim) OP-30</v>
          </cell>
          <cell r="C180" t="str">
            <v>m2</v>
          </cell>
          <cell r="D180">
            <v>2.95</v>
          </cell>
          <cell r="E180" t="str">
            <v>m2</v>
          </cell>
          <cell r="F180">
            <v>2.95</v>
          </cell>
        </row>
        <row r="181">
          <cell r="A181" t="str">
            <v>M905</v>
          </cell>
          <cell r="B181" t="str">
            <v>Filler</v>
          </cell>
          <cell r="C181" t="str">
            <v>kg</v>
          </cell>
          <cell r="D181">
            <v>0.06</v>
          </cell>
          <cell r="E181" t="str">
            <v>kg</v>
          </cell>
          <cell r="F181">
            <v>0.06</v>
          </cell>
        </row>
        <row r="182">
          <cell r="A182" t="str">
            <v>M906</v>
          </cell>
          <cell r="B182" t="str">
            <v>Sementes p/ hidrossemeadura</v>
          </cell>
          <cell r="C182" t="str">
            <v>kg</v>
          </cell>
          <cell r="D182">
            <v>12.5</v>
          </cell>
          <cell r="E182" t="str">
            <v>kg</v>
          </cell>
          <cell r="F182">
            <v>12.5</v>
          </cell>
        </row>
        <row r="183">
          <cell r="A183" t="str">
            <v>M907</v>
          </cell>
          <cell r="B183" t="str">
            <v>Adubo orgânico</v>
          </cell>
          <cell r="C183" t="str">
            <v>kg</v>
          </cell>
          <cell r="D183">
            <v>0.23</v>
          </cell>
          <cell r="E183" t="str">
            <v>t</v>
          </cell>
          <cell r="F183">
            <v>230</v>
          </cell>
        </row>
        <row r="184">
          <cell r="A184" t="str">
            <v>M908</v>
          </cell>
          <cell r="B184" t="str">
            <v>Eletrodo p/ solda eletr. OK 46.00</v>
          </cell>
          <cell r="C184" t="str">
            <v>kg</v>
          </cell>
          <cell r="D184">
            <v>4.4000000000000004</v>
          </cell>
          <cell r="E184" t="str">
            <v>kg</v>
          </cell>
          <cell r="F184">
            <v>4.4000000000000004</v>
          </cell>
        </row>
        <row r="185">
          <cell r="A185" t="str">
            <v>M909</v>
          </cell>
          <cell r="B185" t="str">
            <v>Tubo de PVC perfurado D=50 mm</v>
          </cell>
          <cell r="C185" t="str">
            <v>m</v>
          </cell>
          <cell r="D185">
            <v>1.9</v>
          </cell>
          <cell r="E185" t="str">
            <v>vr</v>
          </cell>
          <cell r="F185">
            <v>11.4</v>
          </cell>
        </row>
        <row r="186">
          <cell r="A186" t="str">
            <v>M910</v>
          </cell>
          <cell r="B186" t="str">
            <v>Tubo de PVC rígido D=50 mm</v>
          </cell>
          <cell r="C186" t="str">
            <v>m</v>
          </cell>
          <cell r="D186">
            <v>2.98</v>
          </cell>
          <cell r="E186" t="str">
            <v>vr</v>
          </cell>
          <cell r="F186">
            <v>17.88</v>
          </cell>
        </row>
        <row r="187">
          <cell r="A187" t="str">
            <v>M911</v>
          </cell>
          <cell r="B187" t="str">
            <v>Tubo de PVC D=100 mm</v>
          </cell>
          <cell r="C187" t="str">
            <v>m</v>
          </cell>
          <cell r="D187">
            <v>3.2</v>
          </cell>
          <cell r="E187" t="str">
            <v>vr</v>
          </cell>
          <cell r="F187">
            <v>19.2</v>
          </cell>
        </row>
        <row r="188">
          <cell r="A188" t="str">
            <v>M920</v>
          </cell>
          <cell r="B188" t="str">
            <v>Meio tubo de concreto D=40 cm</v>
          </cell>
          <cell r="C188" t="str">
            <v>m</v>
          </cell>
          <cell r="D188">
            <v>14</v>
          </cell>
          <cell r="E188" t="str">
            <v>m</v>
          </cell>
          <cell r="F188">
            <v>14</v>
          </cell>
        </row>
        <row r="189">
          <cell r="A189" t="str">
            <v>M930</v>
          </cell>
          <cell r="B189" t="str">
            <v>Gabião caixa 2x1x1m galvanizado</v>
          </cell>
          <cell r="C189" t="str">
            <v>un</v>
          </cell>
          <cell r="D189">
            <v>88.5</v>
          </cell>
          <cell r="E189" t="str">
            <v>un</v>
          </cell>
          <cell r="F189">
            <v>88.5</v>
          </cell>
        </row>
        <row r="190">
          <cell r="A190" t="str">
            <v>M935</v>
          </cell>
          <cell r="B190" t="str">
            <v>Terra arm. ECE - greide 0&lt;h&lt;6m</v>
          </cell>
          <cell r="C190" t="str">
            <v>m2</v>
          </cell>
          <cell r="D190">
            <v>86.67</v>
          </cell>
          <cell r="E190" t="str">
            <v>m2</v>
          </cell>
          <cell r="F190">
            <v>86.67</v>
          </cell>
        </row>
        <row r="191">
          <cell r="A191" t="str">
            <v>M936</v>
          </cell>
          <cell r="B191" t="str">
            <v>Terra arm. ECE - greide 6&lt;h&lt;9m</v>
          </cell>
          <cell r="C191" t="str">
            <v>m2</v>
          </cell>
          <cell r="D191">
            <v>111.85</v>
          </cell>
          <cell r="E191" t="str">
            <v>m2</v>
          </cell>
          <cell r="F191">
            <v>111.85</v>
          </cell>
        </row>
        <row r="192">
          <cell r="A192" t="str">
            <v>M937</v>
          </cell>
          <cell r="B192" t="str">
            <v>Terra arm. ECE - greide 9&lt;h&lt;12m</v>
          </cell>
          <cell r="C192" t="str">
            <v>m2</v>
          </cell>
          <cell r="D192">
            <v>162.96</v>
          </cell>
          <cell r="E192" t="str">
            <v>m2</v>
          </cell>
          <cell r="F192">
            <v>162.96</v>
          </cell>
        </row>
        <row r="193">
          <cell r="A193" t="str">
            <v>M938</v>
          </cell>
          <cell r="B193" t="str">
            <v>Terra arm. ECE- pé talude 0&lt;h&lt;6m</v>
          </cell>
          <cell r="C193" t="str">
            <v>m2</v>
          </cell>
          <cell r="D193">
            <v>99.26</v>
          </cell>
          <cell r="E193" t="str">
            <v>m2</v>
          </cell>
          <cell r="F193">
            <v>99.26</v>
          </cell>
        </row>
        <row r="194">
          <cell r="A194" t="str">
            <v>M939</v>
          </cell>
          <cell r="B194" t="str">
            <v>Terra arm. ECE- pé talude 6&lt;h&lt;9m</v>
          </cell>
          <cell r="C194" t="str">
            <v>m2</v>
          </cell>
          <cell r="D194">
            <v>137.04</v>
          </cell>
          <cell r="E194" t="str">
            <v>m2</v>
          </cell>
          <cell r="F194">
            <v>137.04</v>
          </cell>
        </row>
        <row r="195">
          <cell r="A195" t="str">
            <v>M940</v>
          </cell>
          <cell r="B195" t="str">
            <v>Terra arm. ECE- pé talude 9&lt;h&lt;12m</v>
          </cell>
          <cell r="C195" t="str">
            <v>m2</v>
          </cell>
          <cell r="D195">
            <v>199.26</v>
          </cell>
          <cell r="E195" t="str">
            <v>m2</v>
          </cell>
          <cell r="F195">
            <v>199.26</v>
          </cell>
        </row>
        <row r="196">
          <cell r="A196" t="str">
            <v>M941</v>
          </cell>
          <cell r="B196" t="str">
            <v>Terra arm. ECE-enc. portante 0&lt;h&lt;6m</v>
          </cell>
          <cell r="C196" t="str">
            <v>m2</v>
          </cell>
          <cell r="D196">
            <v>173.33</v>
          </cell>
          <cell r="E196" t="str">
            <v>m2</v>
          </cell>
          <cell r="F196">
            <v>173.33</v>
          </cell>
        </row>
        <row r="197">
          <cell r="A197" t="str">
            <v>M942</v>
          </cell>
          <cell r="B197" t="str">
            <v>Terra arm. ECE-enc. portante 6&lt;h&lt;9m</v>
          </cell>
          <cell r="C197" t="str">
            <v>m2</v>
          </cell>
          <cell r="D197">
            <v>223.7</v>
          </cell>
          <cell r="E197" t="str">
            <v>m2</v>
          </cell>
          <cell r="F197">
            <v>223.7</v>
          </cell>
        </row>
        <row r="198">
          <cell r="A198" t="str">
            <v>M945</v>
          </cell>
          <cell r="B198" t="str">
            <v>Haste para perfuratriz de esteira</v>
          </cell>
          <cell r="C198" t="str">
            <v>un</v>
          </cell>
          <cell r="D198">
            <v>470</v>
          </cell>
          <cell r="E198" t="str">
            <v>un</v>
          </cell>
          <cell r="F198">
            <v>470</v>
          </cell>
        </row>
        <row r="199">
          <cell r="A199" t="str">
            <v>M946</v>
          </cell>
          <cell r="B199" t="str">
            <v>Luva para perfuratriz de esteira</v>
          </cell>
          <cell r="C199" t="str">
            <v>un</v>
          </cell>
          <cell r="D199">
            <v>103</v>
          </cell>
          <cell r="E199" t="str">
            <v>un</v>
          </cell>
          <cell r="F199">
            <v>103</v>
          </cell>
        </row>
        <row r="200">
          <cell r="A200" t="str">
            <v>M947</v>
          </cell>
          <cell r="B200" t="str">
            <v>Punho para perfuratriz de esteira</v>
          </cell>
          <cell r="C200" t="str">
            <v>un</v>
          </cell>
          <cell r="D200">
            <v>301.51</v>
          </cell>
          <cell r="E200" t="str">
            <v>un</v>
          </cell>
          <cell r="F200">
            <v>301.51</v>
          </cell>
        </row>
        <row r="201">
          <cell r="A201" t="str">
            <v>M948</v>
          </cell>
          <cell r="B201" t="str">
            <v>Coroa para perfuratriz de esteira</v>
          </cell>
          <cell r="C201" t="str">
            <v>un</v>
          </cell>
          <cell r="D201">
            <v>490</v>
          </cell>
          <cell r="E201" t="str">
            <v>un</v>
          </cell>
          <cell r="F201">
            <v>490</v>
          </cell>
        </row>
        <row r="202">
          <cell r="A202" t="str">
            <v>M949</v>
          </cell>
          <cell r="B202" t="str">
            <v>Disco diam. p/ máq. de disco 48kW</v>
          </cell>
          <cell r="C202" t="str">
            <v>un</v>
          </cell>
          <cell r="D202">
            <v>589</v>
          </cell>
          <cell r="E202" t="str">
            <v>un</v>
          </cell>
          <cell r="F202">
            <v>589</v>
          </cell>
        </row>
        <row r="203">
          <cell r="A203" t="str">
            <v>M950</v>
          </cell>
          <cell r="B203" t="str">
            <v>Coroa de diamante linha NX</v>
          </cell>
          <cell r="C203" t="str">
            <v>un</v>
          </cell>
          <cell r="D203">
            <v>285.12</v>
          </cell>
          <cell r="E203" t="str">
            <v>un</v>
          </cell>
          <cell r="F203">
            <v>285.12</v>
          </cell>
        </row>
        <row r="204">
          <cell r="A204" t="str">
            <v>M951</v>
          </cell>
          <cell r="B204" t="str">
            <v>Calibrador de diamante linha NX</v>
          </cell>
          <cell r="C204" t="str">
            <v>un</v>
          </cell>
          <cell r="D204">
            <v>293.76</v>
          </cell>
          <cell r="E204" t="str">
            <v>un</v>
          </cell>
          <cell r="F204">
            <v>293.76</v>
          </cell>
        </row>
        <row r="205">
          <cell r="A205" t="str">
            <v>M952</v>
          </cell>
          <cell r="B205" t="str">
            <v>Mola comum linha NX</v>
          </cell>
          <cell r="C205" t="str">
            <v>un</v>
          </cell>
          <cell r="D205">
            <v>16.2</v>
          </cell>
          <cell r="E205" t="str">
            <v>un</v>
          </cell>
          <cell r="F205">
            <v>16.2</v>
          </cell>
        </row>
        <row r="206">
          <cell r="A206" t="str">
            <v>M953</v>
          </cell>
          <cell r="B206" t="str">
            <v>Barrilete simples linha NX</v>
          </cell>
          <cell r="C206" t="str">
            <v>un</v>
          </cell>
          <cell r="D206">
            <v>142.56</v>
          </cell>
          <cell r="E206" t="str">
            <v>un</v>
          </cell>
          <cell r="F206">
            <v>142.56</v>
          </cell>
        </row>
        <row r="207">
          <cell r="A207" t="str">
            <v>M954</v>
          </cell>
          <cell r="B207" t="str">
            <v>Haste paredes paraleleas c/ niples</v>
          </cell>
          <cell r="C207" t="str">
            <v>un</v>
          </cell>
          <cell r="D207">
            <v>176.04</v>
          </cell>
          <cell r="E207" t="str">
            <v>un</v>
          </cell>
          <cell r="F207">
            <v>176.04</v>
          </cell>
        </row>
        <row r="208">
          <cell r="A208" t="str">
            <v>M955</v>
          </cell>
          <cell r="B208" t="str">
            <v>Coroa de widia linha NX</v>
          </cell>
          <cell r="C208" t="str">
            <v>un</v>
          </cell>
          <cell r="D208">
            <v>76.680000000000007</v>
          </cell>
          <cell r="E208" t="str">
            <v>un</v>
          </cell>
          <cell r="F208">
            <v>76.680000000000007</v>
          </cell>
        </row>
        <row r="209">
          <cell r="A209" t="str">
            <v>M956</v>
          </cell>
          <cell r="B209" t="str">
            <v>Sapata de widia linha NX</v>
          </cell>
          <cell r="C209" t="str">
            <v>un</v>
          </cell>
          <cell r="D209">
            <v>70.2</v>
          </cell>
          <cell r="E209" t="str">
            <v>un</v>
          </cell>
          <cell r="F209">
            <v>70.2</v>
          </cell>
        </row>
        <row r="210">
          <cell r="A210" t="str">
            <v>M957</v>
          </cell>
          <cell r="B210" t="str">
            <v>Revestimento c/ conector linha NX</v>
          </cell>
          <cell r="C210" t="str">
            <v>un</v>
          </cell>
          <cell r="D210">
            <v>108</v>
          </cell>
          <cell r="E210" t="str">
            <v>un</v>
          </cell>
          <cell r="F210">
            <v>108</v>
          </cell>
        </row>
        <row r="211">
          <cell r="A211" t="str">
            <v>M958</v>
          </cell>
          <cell r="B211" t="str">
            <v>Calibrador de widia simples linh NX</v>
          </cell>
          <cell r="C211" t="str">
            <v>un</v>
          </cell>
          <cell r="D211">
            <v>76.680000000000007</v>
          </cell>
          <cell r="E211" t="str">
            <v>un</v>
          </cell>
          <cell r="F211">
            <v>76.680000000000007</v>
          </cell>
        </row>
        <row r="212">
          <cell r="A212" t="str">
            <v>M960</v>
          </cell>
          <cell r="B212" t="str">
            <v>Fio de nylon n. 40</v>
          </cell>
          <cell r="C212" t="str">
            <v>m</v>
          </cell>
          <cell r="D212">
            <v>0.03</v>
          </cell>
          <cell r="E212" t="str">
            <v>rl</v>
          </cell>
          <cell r="F212">
            <v>3</v>
          </cell>
        </row>
        <row r="213">
          <cell r="A213" t="str">
            <v>M969</v>
          </cell>
          <cell r="B213" t="str">
            <v>Película refletiva lentes expostas</v>
          </cell>
          <cell r="C213" t="str">
            <v>m2</v>
          </cell>
          <cell r="D213">
            <v>71.53</v>
          </cell>
          <cell r="E213" t="str">
            <v>m2</v>
          </cell>
          <cell r="F213">
            <v>71.53</v>
          </cell>
        </row>
        <row r="214">
          <cell r="A214" t="str">
            <v>M970</v>
          </cell>
          <cell r="B214" t="str">
            <v>Película refletiva lentes inclusas</v>
          </cell>
          <cell r="C214" t="str">
            <v>m2</v>
          </cell>
          <cell r="D214">
            <v>69.31</v>
          </cell>
          <cell r="E214" t="str">
            <v>m2</v>
          </cell>
          <cell r="F214">
            <v>69.31</v>
          </cell>
        </row>
        <row r="215">
          <cell r="A215" t="str">
            <v>M971</v>
          </cell>
          <cell r="B215" t="str">
            <v>Dispositivo anti-ofuscante</v>
          </cell>
          <cell r="C215" t="str">
            <v>m</v>
          </cell>
          <cell r="D215">
            <v>52</v>
          </cell>
          <cell r="E215" t="str">
            <v>m</v>
          </cell>
          <cell r="F215">
            <v>52</v>
          </cell>
        </row>
        <row r="216">
          <cell r="A216" t="str">
            <v>M972</v>
          </cell>
          <cell r="B216" t="str">
            <v>Tacha refletiva monodirecional</v>
          </cell>
          <cell r="C216" t="str">
            <v>un</v>
          </cell>
          <cell r="D216">
            <v>3.8</v>
          </cell>
          <cell r="E216" t="str">
            <v>un</v>
          </cell>
          <cell r="F216">
            <v>3.8</v>
          </cell>
        </row>
        <row r="217">
          <cell r="A217" t="str">
            <v>M973</v>
          </cell>
          <cell r="B217" t="str">
            <v>Tacha refletiva bidirecional</v>
          </cell>
          <cell r="C217" t="str">
            <v>un</v>
          </cell>
          <cell r="D217">
            <v>4.2</v>
          </cell>
          <cell r="E217" t="str">
            <v>un</v>
          </cell>
          <cell r="F217">
            <v>4.2</v>
          </cell>
        </row>
        <row r="218">
          <cell r="A218" t="str">
            <v>M974</v>
          </cell>
          <cell r="B218" t="str">
            <v>Tachão refletivo monodirecional</v>
          </cell>
          <cell r="C218" t="str">
            <v>un</v>
          </cell>
          <cell r="D218">
            <v>9.5</v>
          </cell>
          <cell r="E218" t="str">
            <v>un</v>
          </cell>
          <cell r="F218">
            <v>9.5</v>
          </cell>
        </row>
        <row r="219">
          <cell r="A219" t="str">
            <v>M975</v>
          </cell>
          <cell r="B219" t="str">
            <v>Tachão refletivo bidirecional</v>
          </cell>
          <cell r="C219" t="str">
            <v>un</v>
          </cell>
          <cell r="D219">
            <v>10.5</v>
          </cell>
          <cell r="E219" t="str">
            <v>un</v>
          </cell>
          <cell r="F219">
            <v>10.5</v>
          </cell>
        </row>
        <row r="220">
          <cell r="A220" t="str">
            <v>M976</v>
          </cell>
          <cell r="B220" t="str">
            <v>Baguete limitador de polietileno</v>
          </cell>
          <cell r="C220" t="str">
            <v>m</v>
          </cell>
          <cell r="D220">
            <v>0.56000000000000005</v>
          </cell>
          <cell r="E220" t="str">
            <v>m</v>
          </cell>
          <cell r="F220">
            <v>0.56000000000000005</v>
          </cell>
        </row>
        <row r="221">
          <cell r="A221" t="str">
            <v>M977</v>
          </cell>
          <cell r="B221" t="str">
            <v>Selante asfáltico polimerizado</v>
          </cell>
          <cell r="C221" t="str">
            <v>l</v>
          </cell>
          <cell r="D221">
            <v>24.68</v>
          </cell>
          <cell r="E221" t="str">
            <v>l</v>
          </cell>
          <cell r="F221">
            <v>24.68</v>
          </cell>
        </row>
        <row r="222">
          <cell r="A222" t="str">
            <v>M980</v>
          </cell>
          <cell r="B222" t="str">
            <v>Indenização de jazida</v>
          </cell>
          <cell r="C222" t="str">
            <v>m3</v>
          </cell>
          <cell r="D222">
            <v>0.84</v>
          </cell>
          <cell r="E222" t="str">
            <v>m3</v>
          </cell>
          <cell r="F222">
            <v>0.84</v>
          </cell>
        </row>
        <row r="223">
          <cell r="A223" t="str">
            <v>M982</v>
          </cell>
          <cell r="B223" t="str">
            <v>Isopor de 5cm de espessura</v>
          </cell>
          <cell r="C223" t="str">
            <v>m2</v>
          </cell>
          <cell r="D223">
            <v>5</v>
          </cell>
          <cell r="E223" t="str">
            <v>m2</v>
          </cell>
          <cell r="F223">
            <v>5</v>
          </cell>
        </row>
        <row r="224">
          <cell r="A224" t="str">
            <v>M983</v>
          </cell>
          <cell r="B224" t="str">
            <v>Disco diam. p/ máq. de disco 6kW</v>
          </cell>
          <cell r="C224" t="str">
            <v>un</v>
          </cell>
          <cell r="D224">
            <v>300</v>
          </cell>
          <cell r="E224" t="str">
            <v>un</v>
          </cell>
          <cell r="F224">
            <v>300</v>
          </cell>
        </row>
        <row r="225">
          <cell r="A225" t="str">
            <v>M984</v>
          </cell>
          <cell r="B225" t="str">
            <v>Chumbadores</v>
          </cell>
          <cell r="C225" t="str">
            <v>kg</v>
          </cell>
          <cell r="D225">
            <v>10.433299999999999</v>
          </cell>
          <cell r="E225" t="str">
            <v>pç</v>
          </cell>
          <cell r="F225">
            <v>3.13</v>
          </cell>
        </row>
        <row r="226">
          <cell r="A226" t="str">
            <v>M985</v>
          </cell>
          <cell r="B226" t="str">
            <v>Tubo plástico para purgadores</v>
          </cell>
          <cell r="C226" t="str">
            <v>m</v>
          </cell>
          <cell r="D226">
            <v>1.41</v>
          </cell>
          <cell r="E226" t="str">
            <v>m</v>
          </cell>
          <cell r="F226">
            <v>1.41</v>
          </cell>
        </row>
        <row r="227">
          <cell r="A227" t="str">
            <v>M996</v>
          </cell>
          <cell r="B227" t="str">
            <v>Material Demolido</v>
          </cell>
          <cell r="C227" t="str">
            <v>t</v>
          </cell>
          <cell r="D227">
            <v>0</v>
          </cell>
          <cell r="E227" t="str">
            <v>t</v>
          </cell>
          <cell r="F227">
            <v>0</v>
          </cell>
        </row>
        <row r="228">
          <cell r="A228" t="str">
            <v>M997</v>
          </cell>
          <cell r="B228" t="str">
            <v>Material Fresado</v>
          </cell>
          <cell r="C228" t="str">
            <v>t</v>
          </cell>
          <cell r="D228">
            <v>0</v>
          </cell>
          <cell r="E228" t="str">
            <v>t</v>
          </cell>
          <cell r="F228">
            <v>0</v>
          </cell>
        </row>
        <row r="229">
          <cell r="A229" t="str">
            <v>M998</v>
          </cell>
          <cell r="B229" t="str">
            <v>Madeira</v>
          </cell>
          <cell r="C229" t="str">
            <v>t</v>
          </cell>
          <cell r="D229">
            <v>0</v>
          </cell>
          <cell r="E229" t="str">
            <v>t</v>
          </cell>
          <cell r="F229">
            <v>0</v>
          </cell>
        </row>
        <row r="230">
          <cell r="A230" t="str">
            <v>M999</v>
          </cell>
          <cell r="B230" t="str">
            <v>Material retirado da pista</v>
          </cell>
          <cell r="C230" t="str">
            <v>t</v>
          </cell>
          <cell r="D230">
            <v>0</v>
          </cell>
          <cell r="E230" t="str">
            <v>t</v>
          </cell>
          <cell r="F230">
            <v>0</v>
          </cell>
        </row>
      </sheetData>
      <sheetData sheetId="20" refreshError="1">
        <row r="1">
          <cell r="A1" t="str">
            <v>E001</v>
          </cell>
          <cell r="B1" t="str">
            <v xml:space="preserve">Trator de Esteiras: D4E-PS/4A - com lâmina  </v>
          </cell>
          <cell r="C1" t="str">
            <v xml:space="preserve"> Diesel</v>
          </cell>
          <cell r="D1">
            <v>5.4363000000000001</v>
          </cell>
          <cell r="E1">
            <v>53.947299999999998</v>
          </cell>
        </row>
        <row r="2">
          <cell r="A2" t="str">
            <v>E002</v>
          </cell>
          <cell r="B2" t="str">
            <v xml:space="preserve">Trator de Esteiras: D6M-XL/6A - com lâmina  </v>
          </cell>
          <cell r="C2" t="str">
            <v xml:space="preserve"> Diesel</v>
          </cell>
          <cell r="D2">
            <v>5.4363000000000001</v>
          </cell>
          <cell r="E2">
            <v>77.576700000000002</v>
          </cell>
        </row>
        <row r="3">
          <cell r="A3" t="str">
            <v>E003</v>
          </cell>
          <cell r="B3" t="str">
            <v xml:space="preserve">Trator de Esteiras: D8R - com lâmina  </v>
          </cell>
          <cell r="C3" t="str">
            <v xml:space="preserve"> Diesel</v>
          </cell>
          <cell r="D3">
            <v>5.4363000000000001</v>
          </cell>
          <cell r="E3">
            <v>144.51490000000001</v>
          </cell>
        </row>
        <row r="4">
          <cell r="A4" t="str">
            <v>E005</v>
          </cell>
          <cell r="B4" t="str">
            <v xml:space="preserve">Motoscraper: 621F -   </v>
          </cell>
          <cell r="C4" t="str">
            <v xml:space="preserve"> Diesel</v>
          </cell>
          <cell r="D4">
            <v>5.4363000000000001</v>
          </cell>
          <cell r="E4">
            <v>158.85830000000001</v>
          </cell>
        </row>
        <row r="5">
          <cell r="A5" t="str">
            <v>E006</v>
          </cell>
          <cell r="B5" t="str">
            <v xml:space="preserve">Motoniveladora: 120G -   </v>
          </cell>
          <cell r="C5" t="str">
            <v xml:space="preserve"> Diesel</v>
          </cell>
          <cell r="D5">
            <v>5.7469999999999999</v>
          </cell>
          <cell r="E5">
            <v>52.1905</v>
          </cell>
        </row>
        <row r="6">
          <cell r="A6" t="str">
            <v>E007</v>
          </cell>
          <cell r="B6" t="str">
            <v xml:space="preserve">Trator Agrícola: 620/4 - 80 a 115 hp  </v>
          </cell>
          <cell r="C6" t="str">
            <v xml:space="preserve"> Diesel</v>
          </cell>
          <cell r="D6">
            <v>4.1938000000000004</v>
          </cell>
          <cell r="E6">
            <v>27.098500000000001</v>
          </cell>
        </row>
        <row r="7">
          <cell r="A7" t="str">
            <v>E008</v>
          </cell>
          <cell r="B7" t="str">
            <v xml:space="preserve">Escavadeira Hidráulica: 888-CKE - com drag line 760 l  </v>
          </cell>
          <cell r="C7" t="str">
            <v xml:space="preserve"> Diesel</v>
          </cell>
          <cell r="D7">
            <v>5.7469999999999999</v>
          </cell>
          <cell r="E7">
            <v>60.406999999999996</v>
          </cell>
        </row>
        <row r="8">
          <cell r="A8" t="str">
            <v>E009</v>
          </cell>
          <cell r="B8" t="str">
            <v xml:space="preserve">Carregadeira de Pneus: 924F - 1,72 m3  </v>
          </cell>
          <cell r="C8" t="str">
            <v xml:space="preserve"> Diesel</v>
          </cell>
          <cell r="D8">
            <v>5.4363000000000001</v>
          </cell>
          <cell r="E8">
            <v>41.526699999999998</v>
          </cell>
        </row>
        <row r="9">
          <cell r="A9" t="str">
            <v>E010</v>
          </cell>
          <cell r="B9" t="str">
            <v xml:space="preserve">Carregadeira de Pneus: 950F - 3,1 m3  </v>
          </cell>
          <cell r="C9" t="str">
            <v xml:space="preserve"> Diesel</v>
          </cell>
          <cell r="D9">
            <v>5.4363000000000001</v>
          </cell>
          <cell r="E9">
            <v>68.135400000000004</v>
          </cell>
        </row>
        <row r="10">
          <cell r="A10" t="str">
            <v>E011</v>
          </cell>
          <cell r="B10" t="str">
            <v xml:space="preserve">Retroescavadeira: MF-86HD -   </v>
          </cell>
          <cell r="C10" t="str">
            <v xml:space="preserve"> Diesel</v>
          </cell>
          <cell r="D10">
            <v>5.4363000000000001</v>
          </cell>
          <cell r="E10">
            <v>32.604300000000002</v>
          </cell>
        </row>
        <row r="11">
          <cell r="A11" t="str">
            <v>E012</v>
          </cell>
          <cell r="B11" t="str">
            <v xml:space="preserve">Rolo Compactador: PC-2 - pé de carneiro reb. 3,45 / 4,6 t  </v>
          </cell>
          <cell r="C11" t="str">
            <v xml:space="preserve"> Não utiliza energia</v>
          </cell>
          <cell r="D11">
            <v>0</v>
          </cell>
          <cell r="E11">
            <v>0.82709999999999995</v>
          </cell>
        </row>
        <row r="12">
          <cell r="A12" t="str">
            <v>E013</v>
          </cell>
          <cell r="B12" t="str">
            <v xml:space="preserve">Rolo Compactador: CA-25-PP - pé de carneiro autop. 11,25t vibrat  </v>
          </cell>
          <cell r="C12" t="str">
            <v xml:space="preserve"> Diesel</v>
          </cell>
          <cell r="D12">
            <v>4.1938000000000004</v>
          </cell>
          <cell r="E12">
            <v>45.536099999999998</v>
          </cell>
        </row>
        <row r="13">
          <cell r="A13" t="str">
            <v>E014</v>
          </cell>
          <cell r="B13" t="str">
            <v xml:space="preserve">Trator de Esteiras: D8R/RB - com escarificador  </v>
          </cell>
          <cell r="C13" t="str">
            <v xml:space="preserve"> Diesel</v>
          </cell>
          <cell r="D13">
            <v>5.4363000000000001</v>
          </cell>
          <cell r="E13">
            <v>145.5427</v>
          </cell>
        </row>
        <row r="14">
          <cell r="A14" t="str">
            <v>E015</v>
          </cell>
          <cell r="B14" t="str">
            <v xml:space="preserve">Motoniveladora: 140G -   </v>
          </cell>
          <cell r="C14" t="str">
            <v xml:space="preserve"> Diesel</v>
          </cell>
          <cell r="D14">
            <v>5.7469999999999999</v>
          </cell>
          <cell r="E14">
            <v>63.596499999999999</v>
          </cell>
        </row>
        <row r="15">
          <cell r="A15" t="str">
            <v>E016</v>
          </cell>
          <cell r="B15" t="str">
            <v xml:space="preserve">Carregadeira de Pneus: W18E J L - 1,33 m3  </v>
          </cell>
          <cell r="C15" t="str">
            <v xml:space="preserve"> Diesel</v>
          </cell>
          <cell r="D15">
            <v>5.4363000000000001</v>
          </cell>
          <cell r="E15">
            <v>35.982300000000002</v>
          </cell>
        </row>
        <row r="16">
          <cell r="A16" t="str">
            <v>E055</v>
          </cell>
          <cell r="B16" t="str">
            <v xml:space="preserve">Rolo Compactador: CP433C - pé de carneiro vibratório  </v>
          </cell>
          <cell r="C16" t="str">
            <v xml:space="preserve"> Diesel</v>
          </cell>
          <cell r="D16">
            <v>4.1938000000000004</v>
          </cell>
          <cell r="E16">
            <v>41.104199999999999</v>
          </cell>
        </row>
        <row r="17">
          <cell r="A17" t="str">
            <v>E056</v>
          </cell>
          <cell r="B17" t="str">
            <v xml:space="preserve">Rolo Compactador: CT-262 - pé de carneiro tamping  </v>
          </cell>
          <cell r="C17" t="str">
            <v xml:space="preserve"> Diesel</v>
          </cell>
          <cell r="D17">
            <v>4.1938000000000004</v>
          </cell>
          <cell r="E17">
            <v>93.690299999999993</v>
          </cell>
        </row>
        <row r="18">
          <cell r="A18" t="str">
            <v>E062</v>
          </cell>
          <cell r="B18" t="str">
            <v xml:space="preserve">Escavadeira Hidráulica: 330 - com esteira - cap. 1,7 m3  </v>
          </cell>
          <cell r="C18" t="str">
            <v xml:space="preserve"> Diesel</v>
          </cell>
          <cell r="D18">
            <v>5.7469999999999999</v>
          </cell>
          <cell r="E18">
            <v>129.6935</v>
          </cell>
        </row>
        <row r="19">
          <cell r="A19" t="str">
            <v>E063</v>
          </cell>
          <cell r="B19" t="str">
            <v xml:space="preserve">Escavadeira Hidráulica: 320L - c/ est. - cap 600l p/ longo alcance  </v>
          </cell>
          <cell r="C19" t="str">
            <v xml:space="preserve"> Diesel</v>
          </cell>
          <cell r="D19">
            <v>5.7469999999999999</v>
          </cell>
          <cell r="E19">
            <v>68.950999999999993</v>
          </cell>
        </row>
        <row r="20">
          <cell r="A20" t="str">
            <v>E065</v>
          </cell>
          <cell r="B20" t="str">
            <v xml:space="preserve">Draga de Sucção: p/ extração de Areia  6"  </v>
          </cell>
          <cell r="C20" t="str">
            <v xml:space="preserve"> Diesel</v>
          </cell>
          <cell r="D20">
            <v>0</v>
          </cell>
          <cell r="E20">
            <v>12.652200000000001</v>
          </cell>
        </row>
        <row r="21">
          <cell r="A21" t="str">
            <v>E066</v>
          </cell>
          <cell r="B21" t="str">
            <v xml:space="preserve">Chata - 25m3: com rebocador  </v>
          </cell>
          <cell r="C21" t="str">
            <v xml:space="preserve"> Diesel</v>
          </cell>
          <cell r="D21">
            <v>5.2809999999999997</v>
          </cell>
          <cell r="E21">
            <v>44.421399999999998</v>
          </cell>
        </row>
        <row r="22">
          <cell r="A22" t="str">
            <v>E101</v>
          </cell>
          <cell r="B22" t="str">
            <v xml:space="preserve">Grade de Discos: GA 24 x 24  </v>
          </cell>
          <cell r="C22" t="str">
            <v xml:space="preserve"> Não utiliza energia</v>
          </cell>
          <cell r="D22">
            <v>0</v>
          </cell>
          <cell r="E22">
            <v>0.94110000000000005</v>
          </cell>
        </row>
        <row r="23">
          <cell r="A23" t="str">
            <v>E102</v>
          </cell>
          <cell r="B23" t="str">
            <v xml:space="preserve">Rolo Compactador: CC-431 - Tanden vibrat. autoprop. 10,9 t  </v>
          </cell>
          <cell r="C23" t="str">
            <v xml:space="preserve"> Diesel</v>
          </cell>
          <cell r="D23">
            <v>4.1938000000000004</v>
          </cell>
          <cell r="E23">
            <v>50.396099999999997</v>
          </cell>
        </row>
        <row r="24">
          <cell r="A24" t="str">
            <v>E103</v>
          </cell>
          <cell r="B24" t="str">
            <v xml:space="preserve">Rolo Compactador: SPV 84 - liso, vibrat. autoprop. 11,6 t  </v>
          </cell>
          <cell r="C24" t="str">
            <v xml:space="preserve"> Diesel</v>
          </cell>
          <cell r="D24">
            <v>4.1938000000000004</v>
          </cell>
          <cell r="E24">
            <v>47.619500000000002</v>
          </cell>
        </row>
        <row r="25">
          <cell r="A25" t="str">
            <v>E104</v>
          </cell>
          <cell r="B25" t="str">
            <v xml:space="preserve">Rolo Compactador: CC-222 - liso, tanden vibrat. autoprop. 7,2  </v>
          </cell>
          <cell r="C25" t="str">
            <v xml:space="preserve"> Diesel</v>
          </cell>
          <cell r="D25">
            <v>4.1938000000000004</v>
          </cell>
          <cell r="E25">
            <v>40.826099999999997</v>
          </cell>
        </row>
        <row r="26">
          <cell r="A26" t="str">
            <v>E105</v>
          </cell>
          <cell r="B26" t="str">
            <v xml:space="preserve">Rolo Compactador: SP 8000 - de pneus autoprop. 21 t  </v>
          </cell>
          <cell r="C26" t="str">
            <v xml:space="preserve"> Diesel</v>
          </cell>
          <cell r="D26">
            <v>4.1938000000000004</v>
          </cell>
          <cell r="E26">
            <v>50.769300000000001</v>
          </cell>
        </row>
        <row r="27">
          <cell r="A27" t="str">
            <v>E106</v>
          </cell>
          <cell r="B27" t="str">
            <v xml:space="preserve">Usina Misturadora: USC-2 - de solos 350 / 600 t/h  </v>
          </cell>
          <cell r="C27" t="str">
            <v xml:space="preserve"> Elétrico</v>
          </cell>
          <cell r="D27">
            <v>5.7469999999999999</v>
          </cell>
          <cell r="E27">
            <v>28.718399999999999</v>
          </cell>
        </row>
        <row r="28">
          <cell r="A28" t="str">
            <v>E107</v>
          </cell>
          <cell r="B28" t="str">
            <v xml:space="preserve">Vassoura Mecânica: rebocável  </v>
          </cell>
          <cell r="C28" t="str">
            <v xml:space="preserve"> Não utiliza energia</v>
          </cell>
          <cell r="D28">
            <v>0</v>
          </cell>
          <cell r="E28">
            <v>2.85</v>
          </cell>
        </row>
        <row r="29">
          <cell r="A29" t="str">
            <v>E108</v>
          </cell>
          <cell r="B29" t="str">
            <v xml:space="preserve">Distribuidor de Agregados: rebocável  </v>
          </cell>
          <cell r="C29" t="str">
            <v xml:space="preserve"> Não utiliza energia</v>
          </cell>
          <cell r="D29">
            <v>0</v>
          </cell>
          <cell r="E29">
            <v>2.1840000000000002</v>
          </cell>
        </row>
        <row r="30">
          <cell r="A30" t="str">
            <v>E109</v>
          </cell>
          <cell r="B30" t="str">
            <v xml:space="preserve">Distribuidor de Agregados: SD-1 - autopropelido  </v>
          </cell>
          <cell r="C30" t="str">
            <v xml:space="preserve"> Diesel</v>
          </cell>
          <cell r="D30">
            <v>5.4363000000000001</v>
          </cell>
          <cell r="E30">
            <v>30.139399999999998</v>
          </cell>
        </row>
        <row r="31">
          <cell r="A31" t="str">
            <v>E110</v>
          </cell>
          <cell r="B31" t="str">
            <v xml:space="preserve">Tanque de Estocagem de Asfalto: 20.000 l  </v>
          </cell>
          <cell r="C31" t="str">
            <v xml:space="preserve"> Não utiliza energia</v>
          </cell>
          <cell r="D31">
            <v>0</v>
          </cell>
          <cell r="E31">
            <v>0.96599999999999997</v>
          </cell>
        </row>
        <row r="32">
          <cell r="A32" t="str">
            <v>E111</v>
          </cell>
          <cell r="B32" t="str">
            <v xml:space="preserve">Equip. Distribuição de Asfalto: montado em caminhão  </v>
          </cell>
          <cell r="C32" t="str">
            <v xml:space="preserve"> Diesel</v>
          </cell>
          <cell r="D32">
            <v>4.9703999999999997</v>
          </cell>
          <cell r="E32">
            <v>42.822899999999997</v>
          </cell>
        </row>
        <row r="33">
          <cell r="A33" t="str">
            <v>E112</v>
          </cell>
          <cell r="B33" t="str">
            <v xml:space="preserve">Aquecedor de Fluido Térmico: TH III -   </v>
          </cell>
          <cell r="C33" t="str">
            <v xml:space="preserve"> Elétrico</v>
          </cell>
          <cell r="D33">
            <v>0</v>
          </cell>
          <cell r="E33">
            <v>4.0125000000000002</v>
          </cell>
        </row>
        <row r="34">
          <cell r="A34" t="str">
            <v>E113</v>
          </cell>
          <cell r="B34" t="str">
            <v xml:space="preserve">Usina de Asfalto a Quente: DMC-2 - 40 / 60 t/h  </v>
          </cell>
          <cell r="C34" t="str">
            <v xml:space="preserve"> Elétrico</v>
          </cell>
          <cell r="D34">
            <v>5.7469999999999999</v>
          </cell>
          <cell r="E34">
            <v>84.634799999999998</v>
          </cell>
        </row>
        <row r="35">
          <cell r="A35" t="str">
            <v>E114</v>
          </cell>
          <cell r="B35" t="str">
            <v xml:space="preserve">Vibro-acabadora de Asfalto: VDA-206 - sobre pneus  </v>
          </cell>
          <cell r="C35" t="str">
            <v xml:space="preserve"> Diesel</v>
          </cell>
          <cell r="D35">
            <v>5.7469999999999999</v>
          </cell>
          <cell r="E35">
            <v>21.054200000000002</v>
          </cell>
        </row>
        <row r="36">
          <cell r="A36" t="str">
            <v>E115</v>
          </cell>
          <cell r="B36" t="str">
            <v xml:space="preserve">Usina Misturadora: USC-2 - pré mist. a frio 60/100 t/h  </v>
          </cell>
          <cell r="C36" t="str">
            <v xml:space="preserve"> Elétrico</v>
          </cell>
          <cell r="D36">
            <v>5.7469999999999999</v>
          </cell>
          <cell r="E36">
            <v>25.367000000000001</v>
          </cell>
        </row>
        <row r="37">
          <cell r="A37" t="str">
            <v>E116</v>
          </cell>
          <cell r="B37" t="str">
            <v xml:space="preserve">Usina Misturadora: USC-2 - pré mist. a frio 30/60 t/h  </v>
          </cell>
          <cell r="C37" t="str">
            <v xml:space="preserve"> Elétrico</v>
          </cell>
          <cell r="D37">
            <v>5.7469999999999999</v>
          </cell>
          <cell r="E37">
            <v>16.292000000000002</v>
          </cell>
        </row>
        <row r="38">
          <cell r="A38" t="str">
            <v>E117</v>
          </cell>
          <cell r="B38" t="str">
            <v xml:space="preserve">Rolo Compactador: RT82H - estático Tanden autoprop. 8,9 t  </v>
          </cell>
          <cell r="C38" t="str">
            <v xml:space="preserve"> Diesel</v>
          </cell>
          <cell r="D38">
            <v>4.1938000000000004</v>
          </cell>
          <cell r="E38">
            <v>21.779699999999998</v>
          </cell>
        </row>
        <row r="39">
          <cell r="A39" t="str">
            <v>E118</v>
          </cell>
          <cell r="B39" t="str">
            <v xml:space="preserve">Rolo Compactador: Tanden vibrat. 1,6 t  </v>
          </cell>
          <cell r="C39" t="str">
            <v xml:space="preserve"> Diesel</v>
          </cell>
          <cell r="D39">
            <v>4.1938000000000004</v>
          </cell>
          <cell r="E39">
            <v>11.114800000000001</v>
          </cell>
        </row>
        <row r="40">
          <cell r="A40" t="str">
            <v>E119</v>
          </cell>
          <cell r="B40" t="str">
            <v xml:space="preserve">Rolo Compactador: AP23 - de pneus estat. autoprop. 23 t  </v>
          </cell>
          <cell r="C40" t="str">
            <v xml:space="preserve"> Diesel</v>
          </cell>
          <cell r="D40">
            <v>4.1938000000000004</v>
          </cell>
          <cell r="E40">
            <v>34.246499999999997</v>
          </cell>
        </row>
        <row r="41">
          <cell r="A41" t="str">
            <v>E121</v>
          </cell>
          <cell r="B41" t="str">
            <v xml:space="preserve">Rolo Compactador: CA15 - liso vibrat.autoprop. 6,6 t  </v>
          </cell>
          <cell r="C41" t="str">
            <v xml:space="preserve"> Diesel</v>
          </cell>
          <cell r="D41">
            <v>4.1938000000000004</v>
          </cell>
          <cell r="E41">
            <v>33.888399999999997</v>
          </cell>
        </row>
        <row r="42">
          <cell r="A42" t="str">
            <v>E122</v>
          </cell>
          <cell r="B42" t="str">
            <v xml:space="preserve">Equip. Distribuição Lama Asfáltica: montado em caminhão  </v>
          </cell>
          <cell r="C42" t="str">
            <v xml:space="preserve"> Diesel</v>
          </cell>
          <cell r="D42">
            <v>4.9703999999999997</v>
          </cell>
          <cell r="E42">
            <v>55.874299999999998</v>
          </cell>
        </row>
        <row r="43">
          <cell r="A43" t="str">
            <v>E123</v>
          </cell>
          <cell r="B43" t="str">
            <v xml:space="preserve">Caldeira de Asfalto Rebocável: CA-1 - 600 l  </v>
          </cell>
          <cell r="C43" t="str">
            <v xml:space="preserve"> Elétrico</v>
          </cell>
          <cell r="D43">
            <v>0</v>
          </cell>
          <cell r="E43">
            <v>1.9792000000000001</v>
          </cell>
        </row>
        <row r="44">
          <cell r="A44" t="str">
            <v>E124</v>
          </cell>
          <cell r="B44" t="str">
            <v xml:space="preserve">Usina de Asfalto a Quente: gravim 100/140 t/h  </v>
          </cell>
          <cell r="C44" t="str">
            <v xml:space="preserve"> Elétrico</v>
          </cell>
          <cell r="D44">
            <v>5.7469999999999999</v>
          </cell>
          <cell r="E44">
            <v>114.9106</v>
          </cell>
        </row>
        <row r="45">
          <cell r="A45" t="str">
            <v>E126</v>
          </cell>
          <cell r="B45" t="str">
            <v xml:space="preserve">Fresadora a Frio: 1000 C -   </v>
          </cell>
          <cell r="C45" t="str">
            <v xml:space="preserve"> Diesel</v>
          </cell>
          <cell r="D45">
            <v>5.7469999999999999</v>
          </cell>
          <cell r="E45">
            <v>137.417</v>
          </cell>
        </row>
        <row r="46">
          <cell r="A46" t="str">
            <v>E127</v>
          </cell>
          <cell r="B46" t="str">
            <v xml:space="preserve">Fresadora a Frio: 2000 DC -   </v>
          </cell>
          <cell r="C46" t="str">
            <v xml:space="preserve"> Diesel</v>
          </cell>
          <cell r="D46">
            <v>5.7469999999999999</v>
          </cell>
          <cell r="E46">
            <v>284.22500000000002</v>
          </cell>
        </row>
        <row r="47">
          <cell r="A47" t="str">
            <v>E138</v>
          </cell>
          <cell r="B47" t="str">
            <v xml:space="preserve">Estabilizador/Recicladora a Frio: RR/SS-250 -   </v>
          </cell>
          <cell r="C47" t="str">
            <v xml:space="preserve"> Diesel</v>
          </cell>
          <cell r="D47">
            <v>5.7469999999999999</v>
          </cell>
          <cell r="E47">
            <v>203.68700000000001</v>
          </cell>
        </row>
        <row r="48">
          <cell r="A48" t="str">
            <v>E139</v>
          </cell>
          <cell r="B48" t="str">
            <v xml:space="preserve">Rolo Compactador: CA25 - liso auto. vibrat.  </v>
          </cell>
          <cell r="C48" t="str">
            <v xml:space="preserve"> Diesel</v>
          </cell>
          <cell r="D48">
            <v>4.1938000000000004</v>
          </cell>
          <cell r="E48">
            <v>42.997999999999998</v>
          </cell>
        </row>
        <row r="49">
          <cell r="A49" t="str">
            <v>E142</v>
          </cell>
          <cell r="B49" t="str">
            <v xml:space="preserve">Rolo Compactador: CP271 - de pneus  </v>
          </cell>
          <cell r="C49" t="str">
            <v xml:space="preserve"> Diesel</v>
          </cell>
          <cell r="D49">
            <v>4.1938000000000004</v>
          </cell>
          <cell r="E49">
            <v>41.012599999999999</v>
          </cell>
        </row>
        <row r="50">
          <cell r="A50" t="str">
            <v>E147</v>
          </cell>
          <cell r="B50" t="str">
            <v xml:space="preserve">Usina de Asfalto a Quente: DMC-2 - 90/120 t/h com filtro de manga  </v>
          </cell>
          <cell r="C50" t="str">
            <v xml:space="preserve"> Elétrico</v>
          </cell>
          <cell r="D50">
            <v>5.7469999999999999</v>
          </cell>
          <cell r="E50">
            <v>88.358599999999996</v>
          </cell>
        </row>
        <row r="51">
          <cell r="A51" t="str">
            <v>E149</v>
          </cell>
          <cell r="B51" t="str">
            <v xml:space="preserve">Vibro-acabadora de Asfalto: VDA-600BM - sobre esteiras  </v>
          </cell>
          <cell r="C51" t="str">
            <v xml:space="preserve"> Diesel</v>
          </cell>
          <cell r="D51">
            <v>5.7469999999999999</v>
          </cell>
          <cell r="E51">
            <v>52.372999999999998</v>
          </cell>
        </row>
        <row r="52">
          <cell r="A52" t="str">
            <v>E151</v>
          </cell>
          <cell r="B52" t="str">
            <v xml:space="preserve">Rolo Compactador: SP5500 - autoprop. de pneus 20 t  </v>
          </cell>
          <cell r="C52" t="str">
            <v xml:space="preserve"> Diesel</v>
          </cell>
          <cell r="D52">
            <v>4.1938000000000004</v>
          </cell>
          <cell r="E52">
            <v>34.217300000000002</v>
          </cell>
        </row>
        <row r="53">
          <cell r="A53" t="str">
            <v>E153</v>
          </cell>
          <cell r="B53" t="str">
            <v xml:space="preserve">Recicladora de Pavimento: a quente "in situ"  </v>
          </cell>
          <cell r="C53" t="str">
            <v xml:space="preserve"> Diesel</v>
          </cell>
          <cell r="D53">
            <v>11.494</v>
          </cell>
          <cell r="E53">
            <v>387.23480000000001</v>
          </cell>
        </row>
        <row r="54">
          <cell r="A54" t="str">
            <v>E156</v>
          </cell>
          <cell r="B54" t="str">
            <v xml:space="preserve">Trator Uniloader: 1845 - C - c/ vassoura de 1,80 m  </v>
          </cell>
          <cell r="C54" t="str">
            <v xml:space="preserve"> Diesel</v>
          </cell>
          <cell r="D54">
            <v>5.4363000000000001</v>
          </cell>
          <cell r="E54">
            <v>24.787800000000001</v>
          </cell>
        </row>
        <row r="55">
          <cell r="A55" t="str">
            <v>E160</v>
          </cell>
          <cell r="B55" t="str">
            <v xml:space="preserve">Fresadora e Distribuidora de solo: 9500 - para regular sub leito  </v>
          </cell>
          <cell r="C55" t="str">
            <v xml:space="preserve"> Diesel</v>
          </cell>
          <cell r="D55">
            <v>5.7469999999999999</v>
          </cell>
          <cell r="E55">
            <v>234.64689999999999</v>
          </cell>
        </row>
        <row r="56">
          <cell r="A56" t="str">
            <v>E161</v>
          </cell>
          <cell r="B56" t="str">
            <v xml:space="preserve">Equip. Distr. de L.A. Rupt. Contr.: MICROFLEX - acoplado em cavalo mecânico  </v>
          </cell>
          <cell r="C56" t="str">
            <v xml:space="preserve"> Diesel</v>
          </cell>
          <cell r="D56">
            <v>5.2809999999999997</v>
          </cell>
          <cell r="E56">
            <v>104.0889</v>
          </cell>
        </row>
        <row r="57">
          <cell r="A57" t="str">
            <v>E201</v>
          </cell>
          <cell r="B57" t="str">
            <v xml:space="preserve">Compressor de Ar: XA 125PD - 250 PCM  </v>
          </cell>
          <cell r="C57" t="str">
            <v xml:space="preserve"> Diesel</v>
          </cell>
          <cell r="D57">
            <v>4.1938000000000004</v>
          </cell>
          <cell r="E57">
            <v>20.5779</v>
          </cell>
        </row>
        <row r="58">
          <cell r="A58" t="str">
            <v>E202</v>
          </cell>
          <cell r="B58" t="str">
            <v xml:space="preserve">Compressor de Ar: XA 175 - 350 PCM  </v>
          </cell>
          <cell r="C58" t="str">
            <v xml:space="preserve"> Diesel</v>
          </cell>
          <cell r="D58">
            <v>4.1938000000000004</v>
          </cell>
          <cell r="E58">
            <v>26.444299999999998</v>
          </cell>
        </row>
        <row r="59">
          <cell r="A59" t="str">
            <v>E203</v>
          </cell>
          <cell r="B59" t="str">
            <v xml:space="preserve">Compressor de Ar: XA 360 SD - 764 PCM  </v>
          </cell>
          <cell r="C59" t="str">
            <v xml:space="preserve"> Diesel</v>
          </cell>
          <cell r="D59">
            <v>4.1938000000000004</v>
          </cell>
          <cell r="E59">
            <v>55.485300000000002</v>
          </cell>
        </row>
        <row r="60">
          <cell r="A60" t="str">
            <v>E204</v>
          </cell>
          <cell r="B60" t="str">
            <v xml:space="preserve">Martelete: RH658-6L - perfuratriz manual  </v>
          </cell>
          <cell r="C60" t="str">
            <v xml:space="preserve"> Não utiliza energia</v>
          </cell>
          <cell r="D60">
            <v>3.7277999999999998</v>
          </cell>
          <cell r="E60">
            <v>4.5633999999999997</v>
          </cell>
        </row>
        <row r="61">
          <cell r="A61" t="str">
            <v>E205</v>
          </cell>
          <cell r="B61" t="str">
            <v xml:space="preserve">Perfuratriz sobre Esteiras: ROC 442PC - Crawler Drill  </v>
          </cell>
          <cell r="C61" t="str">
            <v xml:space="preserve"> Não utiliza energia</v>
          </cell>
          <cell r="D61">
            <v>4.1938000000000004</v>
          </cell>
          <cell r="E61">
            <v>31.947099999999999</v>
          </cell>
        </row>
        <row r="62">
          <cell r="A62" t="str">
            <v>E206</v>
          </cell>
          <cell r="B62" t="str">
            <v xml:space="preserve">Conjunto de Britagem: L-150A - 30 m3/h  </v>
          </cell>
          <cell r="C62" t="str">
            <v xml:space="preserve"> Elétrico</v>
          </cell>
          <cell r="D62">
            <v>5.7469999999999999</v>
          </cell>
          <cell r="E62">
            <v>67.889799999999994</v>
          </cell>
        </row>
        <row r="63">
          <cell r="A63" t="str">
            <v>E207</v>
          </cell>
          <cell r="B63" t="str">
            <v xml:space="preserve">Conjunto de Britagem: c-130 - 9 a 20 m3/h  </v>
          </cell>
          <cell r="C63" t="str">
            <v xml:space="preserve"> Elétrico</v>
          </cell>
          <cell r="D63">
            <v>5.7469999999999999</v>
          </cell>
          <cell r="E63">
            <v>19.775700000000001</v>
          </cell>
        </row>
        <row r="64">
          <cell r="A64" t="str">
            <v>E208</v>
          </cell>
          <cell r="B64" t="str">
            <v xml:space="preserve">Compressor de Ar: XA90PD - 180 PCM  </v>
          </cell>
          <cell r="C64" t="str">
            <v xml:space="preserve"> Diesel</v>
          </cell>
          <cell r="D64">
            <v>4.1938000000000004</v>
          </cell>
          <cell r="E64">
            <v>19.863900000000001</v>
          </cell>
        </row>
        <row r="65">
          <cell r="A65" t="str">
            <v>E209</v>
          </cell>
          <cell r="B65" t="str">
            <v xml:space="preserve">Martelete: TEX28 - rompedor  28 kg  </v>
          </cell>
          <cell r="C65" t="str">
            <v xml:space="preserve"> Não utiliza energia</v>
          </cell>
          <cell r="D65">
            <v>3.7277999999999998</v>
          </cell>
          <cell r="E65">
            <v>4.2933000000000003</v>
          </cell>
        </row>
        <row r="66">
          <cell r="A66" t="str">
            <v>E210</v>
          </cell>
          <cell r="B66" t="str">
            <v xml:space="preserve">Martelete: TEX33 - rompedor  33 kg  </v>
          </cell>
          <cell r="C66" t="str">
            <v xml:space="preserve"> Não utiliza energia</v>
          </cell>
          <cell r="D66">
            <v>3.7277999999999998</v>
          </cell>
          <cell r="E66">
            <v>4.2347999999999999</v>
          </cell>
        </row>
        <row r="67">
          <cell r="A67" t="str">
            <v>E211</v>
          </cell>
          <cell r="B67" t="str">
            <v xml:space="preserve">Máquina para Pintura: compres. de ar p/ pintura c/ filtro  </v>
          </cell>
          <cell r="C67" t="str">
            <v xml:space="preserve"> Elétrico</v>
          </cell>
          <cell r="D67">
            <v>0</v>
          </cell>
          <cell r="E67">
            <v>0.24829999999999999</v>
          </cell>
        </row>
        <row r="68">
          <cell r="A68" t="str">
            <v>E223</v>
          </cell>
          <cell r="B68" t="str">
            <v xml:space="preserve">Compressor de Ar: portátil 375 PCM  </v>
          </cell>
          <cell r="C68" t="str">
            <v xml:space="preserve"> Diesel</v>
          </cell>
          <cell r="D68">
            <v>4.1938000000000004</v>
          </cell>
          <cell r="E68">
            <v>36.3354</v>
          </cell>
        </row>
        <row r="69">
          <cell r="A69" t="str">
            <v>E225</v>
          </cell>
          <cell r="B69" t="str">
            <v xml:space="preserve">Conjunto de Britagem: 80 m3/h  </v>
          </cell>
          <cell r="C69" t="str">
            <v xml:space="preserve"> Elétrico</v>
          </cell>
          <cell r="D69">
            <v>5.7469999999999999</v>
          </cell>
          <cell r="E69">
            <v>123.60420000000001</v>
          </cell>
        </row>
        <row r="70">
          <cell r="A70" t="str">
            <v>E226</v>
          </cell>
          <cell r="B70" t="str">
            <v xml:space="preserve">Conjunto de Britagem - p/ rachão: 80 m3/h   p/ produção de rachão  </v>
          </cell>
          <cell r="C70" t="str">
            <v xml:space="preserve"> Elétrico</v>
          </cell>
          <cell r="D70">
            <v>5.7469999999999999</v>
          </cell>
          <cell r="E70">
            <v>36.0685</v>
          </cell>
        </row>
        <row r="71">
          <cell r="A71" t="str">
            <v>E301</v>
          </cell>
          <cell r="B71" t="str">
            <v xml:space="preserve">Betoneira: 320 l  </v>
          </cell>
          <cell r="C71" t="str">
            <v xml:space="preserve"> Diesel</v>
          </cell>
          <cell r="D71">
            <v>4.1938000000000004</v>
          </cell>
          <cell r="E71">
            <v>6.3403</v>
          </cell>
        </row>
        <row r="72">
          <cell r="A72" t="str">
            <v>E302</v>
          </cell>
          <cell r="B72" t="str">
            <v xml:space="preserve">Betoneira: 320 l  </v>
          </cell>
          <cell r="C72" t="str">
            <v xml:space="preserve"> Elétrico</v>
          </cell>
          <cell r="D72">
            <v>4.1938000000000004</v>
          </cell>
          <cell r="E72">
            <v>4.3377999999999997</v>
          </cell>
        </row>
        <row r="73">
          <cell r="A73" t="str">
            <v>E303</v>
          </cell>
          <cell r="B73" t="str">
            <v xml:space="preserve">Betoneira: 750 l  </v>
          </cell>
          <cell r="C73" t="str">
            <v xml:space="preserve"> Elétrico</v>
          </cell>
          <cell r="D73">
            <v>4.1938000000000004</v>
          </cell>
          <cell r="E73">
            <v>6.1938000000000004</v>
          </cell>
        </row>
        <row r="74">
          <cell r="A74" t="str">
            <v>E304</v>
          </cell>
          <cell r="B74" t="str">
            <v xml:space="preserve">Transportador Manual: carrinho de mão 80 l  </v>
          </cell>
          <cell r="C74" t="str">
            <v xml:space="preserve"> Não utiliza energia</v>
          </cell>
          <cell r="D74">
            <v>0</v>
          </cell>
          <cell r="E74">
            <v>4.7699999999999999E-2</v>
          </cell>
        </row>
        <row r="75">
          <cell r="A75" t="str">
            <v>E305</v>
          </cell>
          <cell r="B75" t="str">
            <v xml:space="preserve">Transportador Manual: A-15 - gerica 180 l  </v>
          </cell>
          <cell r="C75" t="str">
            <v xml:space="preserve"> Não utiliza energia</v>
          </cell>
          <cell r="D75">
            <v>0</v>
          </cell>
          <cell r="E75">
            <v>0.12609999999999999</v>
          </cell>
        </row>
        <row r="76">
          <cell r="A76" t="str">
            <v>E306</v>
          </cell>
          <cell r="B76" t="str">
            <v xml:space="preserve">Vibrador de Concreto: VIP45/MT2 - de imersão  </v>
          </cell>
          <cell r="C76" t="str">
            <v xml:space="preserve"> Elétrico</v>
          </cell>
          <cell r="D76">
            <v>3.7277999999999998</v>
          </cell>
          <cell r="E76">
            <v>3.9548000000000001</v>
          </cell>
        </row>
        <row r="77">
          <cell r="A77" t="str">
            <v>E307</v>
          </cell>
          <cell r="B77" t="str">
            <v xml:space="preserve">Fábric. Pré-Moldado Concreto: tubos   D=0,2 m   M / F  </v>
          </cell>
          <cell r="C77" t="str">
            <v xml:space="preserve"> Elétrico</v>
          </cell>
          <cell r="D77">
            <v>0</v>
          </cell>
          <cell r="E77">
            <v>1.3293999999999999</v>
          </cell>
        </row>
        <row r="78">
          <cell r="A78" t="str">
            <v>E308</v>
          </cell>
          <cell r="B78" t="str">
            <v xml:space="preserve">Fábric. Pré-Moldado Concreto: tubos   D=0,3 m   M / F  </v>
          </cell>
          <cell r="C78" t="str">
            <v xml:space="preserve"> Elétrico</v>
          </cell>
          <cell r="D78">
            <v>0</v>
          </cell>
          <cell r="E78">
            <v>1.3771</v>
          </cell>
        </row>
        <row r="79">
          <cell r="A79" t="str">
            <v>E309</v>
          </cell>
          <cell r="B79" t="str">
            <v xml:space="preserve">Fábric. Pré-Moldado Concreto: tubos   D=0,4 m   M / F  </v>
          </cell>
          <cell r="C79" t="str">
            <v xml:space="preserve"> Elétrico</v>
          </cell>
          <cell r="D79">
            <v>0</v>
          </cell>
          <cell r="E79">
            <v>1.4869000000000001</v>
          </cell>
        </row>
        <row r="80">
          <cell r="A80" t="str">
            <v>E310</v>
          </cell>
          <cell r="B80" t="str">
            <v xml:space="preserve">Fábric. Pré-Moldado Concreto: tubos   D=0,6 m   M / F  </v>
          </cell>
          <cell r="C80" t="str">
            <v xml:space="preserve"> Elétrico</v>
          </cell>
          <cell r="D80">
            <v>0</v>
          </cell>
          <cell r="E80">
            <v>1.9801</v>
          </cell>
        </row>
        <row r="81">
          <cell r="A81" t="str">
            <v>E311</v>
          </cell>
          <cell r="B81" t="str">
            <v xml:space="preserve">Fábric. Pré-Moldado Concreto: tubos   D=0,8 m   M / F  </v>
          </cell>
          <cell r="C81" t="str">
            <v xml:space="preserve"> Elétrico</v>
          </cell>
          <cell r="D81">
            <v>0</v>
          </cell>
          <cell r="E81">
            <v>1.9222999999999999</v>
          </cell>
        </row>
        <row r="82">
          <cell r="A82" t="str">
            <v>E312</v>
          </cell>
          <cell r="B82" t="str">
            <v xml:space="preserve">Fábric. Pré-Moldado Concreto: tubos   D=1,0 m   M / F  </v>
          </cell>
          <cell r="C82" t="str">
            <v xml:space="preserve"> Elétrico</v>
          </cell>
          <cell r="D82">
            <v>0</v>
          </cell>
          <cell r="E82">
            <v>2.1139999999999999</v>
          </cell>
        </row>
        <row r="83">
          <cell r="A83" t="str">
            <v>E313</v>
          </cell>
          <cell r="B83" t="str">
            <v xml:space="preserve">Fábric. Pré-Moldado Concreto: tubos   D=1,2 m   M / F  </v>
          </cell>
          <cell r="C83" t="str">
            <v xml:space="preserve"> Elétrico</v>
          </cell>
          <cell r="D83">
            <v>0</v>
          </cell>
          <cell r="E83">
            <v>2.1522999999999999</v>
          </cell>
        </row>
        <row r="84">
          <cell r="A84" t="str">
            <v>E314</v>
          </cell>
          <cell r="B84" t="str">
            <v xml:space="preserve">Fábric. Pré-Moldado Concreto: tubos   D=1,5 m   M / F  </v>
          </cell>
          <cell r="C84" t="str">
            <v xml:space="preserve"> Elétrico</v>
          </cell>
          <cell r="D84">
            <v>0</v>
          </cell>
          <cell r="E84">
            <v>2.1879</v>
          </cell>
        </row>
        <row r="85">
          <cell r="A85" t="str">
            <v>E315</v>
          </cell>
          <cell r="B85" t="str">
            <v xml:space="preserve">Betoneira: 500 l  </v>
          </cell>
          <cell r="C85" t="str">
            <v xml:space="preserve"> Diesel</v>
          </cell>
          <cell r="D85">
            <v>4.1938000000000004</v>
          </cell>
          <cell r="E85">
            <v>7.1970000000000001</v>
          </cell>
        </row>
        <row r="86">
          <cell r="A86" t="str">
            <v>E316</v>
          </cell>
          <cell r="B86" t="str">
            <v xml:space="preserve">Fábric. Pré-Moldado Concreto: inst. compl. -  mourão  </v>
          </cell>
          <cell r="C86" t="str">
            <v xml:space="preserve"> Elétrico</v>
          </cell>
          <cell r="D86">
            <v>0</v>
          </cell>
          <cell r="E86">
            <v>0.58079999999999998</v>
          </cell>
        </row>
        <row r="87">
          <cell r="A87" t="str">
            <v>E317</v>
          </cell>
          <cell r="B87" t="str">
            <v xml:space="preserve">Fábric. Pré-Moldado Concreto: inst. compl. -  balizador  </v>
          </cell>
          <cell r="C87" t="str">
            <v xml:space="preserve"> Elétrico</v>
          </cell>
          <cell r="D87">
            <v>0</v>
          </cell>
          <cell r="E87">
            <v>0.61099999999999999</v>
          </cell>
        </row>
        <row r="88">
          <cell r="A88" t="str">
            <v>E318</v>
          </cell>
          <cell r="B88" t="str">
            <v xml:space="preserve">Fábric. Pré-Moldado Concreto: inst. compl. - guarda-corpo  </v>
          </cell>
          <cell r="C88" t="str">
            <v xml:space="preserve"> Elétrico</v>
          </cell>
          <cell r="D88">
            <v>0</v>
          </cell>
          <cell r="E88">
            <v>0.81599999999999995</v>
          </cell>
        </row>
        <row r="89">
          <cell r="A89" t="str">
            <v>E323</v>
          </cell>
          <cell r="B89" t="str">
            <v xml:space="preserve">Central de Concreto: 30m3/h - dosadora  </v>
          </cell>
          <cell r="C89" t="str">
            <v xml:space="preserve"> Elétrico</v>
          </cell>
          <cell r="D89">
            <v>5.7469999999999999</v>
          </cell>
          <cell r="E89">
            <v>11.347</v>
          </cell>
        </row>
        <row r="90">
          <cell r="A90" t="str">
            <v>E330</v>
          </cell>
          <cell r="B90" t="str">
            <v xml:space="preserve">Espalhadora de concreto: PS 2600 -   </v>
          </cell>
          <cell r="C90" t="str">
            <v xml:space="preserve"> Diesel</v>
          </cell>
          <cell r="D90">
            <v>5.7469999999999999</v>
          </cell>
          <cell r="E90">
            <v>182.9436</v>
          </cell>
        </row>
        <row r="91">
          <cell r="A91" t="str">
            <v>E331</v>
          </cell>
          <cell r="B91" t="str">
            <v xml:space="preserve">Acabadora de concreto: GP 2600 - com forma deslizante  </v>
          </cell>
          <cell r="C91" t="str">
            <v xml:space="preserve"> Diesel</v>
          </cell>
          <cell r="D91">
            <v>5.7469999999999999</v>
          </cell>
          <cell r="E91">
            <v>212.422</v>
          </cell>
        </row>
        <row r="92">
          <cell r="A92" t="str">
            <v>E332</v>
          </cell>
          <cell r="B92" t="str">
            <v xml:space="preserve">Texturizadora e Lançadora: TC 400 - com estação meteorológica  </v>
          </cell>
          <cell r="C92" t="str">
            <v xml:space="preserve"> Diesel</v>
          </cell>
          <cell r="D92">
            <v>3.7277999999999998</v>
          </cell>
          <cell r="E92">
            <v>58.248699999999999</v>
          </cell>
        </row>
        <row r="93">
          <cell r="A93" t="str">
            <v>E333</v>
          </cell>
          <cell r="B93" t="str">
            <v xml:space="preserve">Serra de Disco Diamantado: PRO-65 - para concreto  </v>
          </cell>
          <cell r="C93" t="str">
            <v xml:space="preserve"> Gasolina</v>
          </cell>
          <cell r="D93">
            <v>3.7277999999999998</v>
          </cell>
          <cell r="E93">
            <v>37.576799999999999</v>
          </cell>
        </row>
        <row r="94">
          <cell r="A94" t="str">
            <v>E334</v>
          </cell>
          <cell r="B94" t="str">
            <v xml:space="preserve">Seladora de Juntas: EZ100 -   </v>
          </cell>
          <cell r="C94" t="str">
            <v xml:space="preserve"> Gasolina</v>
          </cell>
          <cell r="D94">
            <v>3.7277999999999998</v>
          </cell>
          <cell r="E94">
            <v>19.320599999999999</v>
          </cell>
        </row>
        <row r="95">
          <cell r="A95" t="str">
            <v>E335</v>
          </cell>
          <cell r="B95" t="str">
            <v xml:space="preserve">Central de Concreto: MG11C - 270m3 / h - dosadora e misturadora.  </v>
          </cell>
          <cell r="C95" t="str">
            <v xml:space="preserve"> Elétrico</v>
          </cell>
          <cell r="D95">
            <v>5.7469999999999999</v>
          </cell>
          <cell r="E95">
            <v>123.1434</v>
          </cell>
        </row>
        <row r="96">
          <cell r="A96" t="str">
            <v>E337</v>
          </cell>
          <cell r="B96" t="str">
            <v xml:space="preserve">Régua vibratória: CRV 4 - 4,25m  </v>
          </cell>
          <cell r="C96" t="str">
            <v xml:space="preserve"> Elétrico</v>
          </cell>
          <cell r="D96">
            <v>3.7277999999999998</v>
          </cell>
          <cell r="E96">
            <v>5.7130000000000001</v>
          </cell>
        </row>
        <row r="97">
          <cell r="A97" t="str">
            <v>E338</v>
          </cell>
          <cell r="B97" t="str">
            <v xml:space="preserve">Serra de Juntas: C-844 - para concreto  </v>
          </cell>
          <cell r="C97" t="str">
            <v xml:space="preserve"> Elétrico</v>
          </cell>
          <cell r="D97">
            <v>3.7277999999999998</v>
          </cell>
          <cell r="E97">
            <v>4.3326000000000002</v>
          </cell>
        </row>
        <row r="98">
          <cell r="A98" t="str">
            <v>E339</v>
          </cell>
          <cell r="B98" t="str">
            <v xml:space="preserve">Fábric. Pré-Moldado Concreto: placas p/ pavimento  </v>
          </cell>
          <cell r="C98" t="str">
            <v xml:space="preserve"> Elétrico</v>
          </cell>
          <cell r="D98">
            <v>0</v>
          </cell>
          <cell r="E98">
            <v>1.2596000000000001</v>
          </cell>
        </row>
        <row r="99">
          <cell r="A99" t="str">
            <v>E340</v>
          </cell>
          <cell r="B99" t="str">
            <v xml:space="preserve">Jateadora de Areia: KI-2460 - pressurizado  </v>
          </cell>
          <cell r="C99" t="str">
            <v xml:space="preserve"> Não utiliza energia</v>
          </cell>
          <cell r="D99">
            <v>3.7277999999999998</v>
          </cell>
          <cell r="E99">
            <v>4.8484999999999996</v>
          </cell>
        </row>
        <row r="100">
          <cell r="A100" t="str">
            <v>E400</v>
          </cell>
          <cell r="B100" t="str">
            <v xml:space="preserve">Caminhão Basculante: 1418R - 5 m3 - 8,8 t  </v>
          </cell>
          <cell r="C100" t="str">
            <v xml:space="preserve"> Diesel</v>
          </cell>
          <cell r="D100">
            <v>4.9703999999999997</v>
          </cell>
          <cell r="E100">
            <v>34.086500000000001</v>
          </cell>
        </row>
        <row r="101">
          <cell r="A101" t="str">
            <v>E402</v>
          </cell>
          <cell r="B101" t="str">
            <v xml:space="preserve">Caminhão Carroceria: L2318/51 - de madeira 15 t  </v>
          </cell>
          <cell r="C101" t="str">
            <v xml:space="preserve"> Diesel</v>
          </cell>
          <cell r="D101">
            <v>4.9703999999999997</v>
          </cell>
          <cell r="E101">
            <v>37.622100000000003</v>
          </cell>
        </row>
        <row r="102">
          <cell r="A102" t="str">
            <v>E403</v>
          </cell>
          <cell r="B102" t="str">
            <v xml:space="preserve">Caminhão Basculante: LK 1620 - 6 m3 - 10,5 t  </v>
          </cell>
          <cell r="C102" t="str">
            <v xml:space="preserve"> Diesel</v>
          </cell>
          <cell r="D102">
            <v>4.9703999999999997</v>
          </cell>
          <cell r="E102">
            <v>39.272100000000002</v>
          </cell>
        </row>
        <row r="103">
          <cell r="A103" t="str">
            <v>E404</v>
          </cell>
          <cell r="B103" t="str">
            <v xml:space="preserve">Caminhão Basculante: LK 2318 - 10 m3 - 15 t  </v>
          </cell>
          <cell r="C103" t="str">
            <v xml:space="preserve"> Diesel</v>
          </cell>
          <cell r="D103">
            <v>4.9703999999999997</v>
          </cell>
          <cell r="E103">
            <v>39.351799999999997</v>
          </cell>
        </row>
        <row r="104">
          <cell r="A104" t="str">
            <v>E405</v>
          </cell>
          <cell r="B104" t="str">
            <v xml:space="preserve">Caminhão Basculante: LK2318 - p/ rocha 8 m3 - 13 t  </v>
          </cell>
          <cell r="C104" t="str">
            <v xml:space="preserve"> Diesel</v>
          </cell>
          <cell r="D104">
            <v>4.9703999999999997</v>
          </cell>
          <cell r="E104">
            <v>40.878900000000002</v>
          </cell>
        </row>
        <row r="105">
          <cell r="A105" t="str">
            <v>E406</v>
          </cell>
          <cell r="B105" t="str">
            <v xml:space="preserve">Caminhão Tanque: L1620/51 - 6.000 l  </v>
          </cell>
          <cell r="C105" t="str">
            <v xml:space="preserve"> Diesel</v>
          </cell>
          <cell r="D105">
            <v>4.9703999999999997</v>
          </cell>
          <cell r="E105">
            <v>36.354900000000001</v>
          </cell>
        </row>
        <row r="106">
          <cell r="A106" t="str">
            <v>E407</v>
          </cell>
          <cell r="B106" t="str">
            <v xml:space="preserve">Caminhão Tanque: L2318/51 - 10.000 l  </v>
          </cell>
          <cell r="C106" t="str">
            <v xml:space="preserve"> Diesel</v>
          </cell>
          <cell r="D106">
            <v>4.9703999999999997</v>
          </cell>
          <cell r="E106">
            <v>38.028799999999997</v>
          </cell>
        </row>
        <row r="107">
          <cell r="A107" t="str">
            <v>E408</v>
          </cell>
          <cell r="B107" t="str">
            <v xml:space="preserve">Caminhão Carroceria: 710 / 37 - fixa 4 t  </v>
          </cell>
          <cell r="C107" t="str">
            <v xml:space="preserve"> Diesel</v>
          </cell>
          <cell r="D107">
            <v>4.9703999999999997</v>
          </cell>
          <cell r="E107">
            <v>21.9148</v>
          </cell>
        </row>
        <row r="108">
          <cell r="A108" t="str">
            <v>E409</v>
          </cell>
          <cell r="B108" t="str">
            <v xml:space="preserve">Caminhão Carroceria: L1620/51 - fixa 9 t  </v>
          </cell>
          <cell r="C108" t="str">
            <v xml:space="preserve"> Diesel</v>
          </cell>
          <cell r="D108">
            <v>4.9703999999999997</v>
          </cell>
          <cell r="E108">
            <v>35.988799999999998</v>
          </cell>
        </row>
        <row r="109">
          <cell r="A109" t="str">
            <v>E410</v>
          </cell>
          <cell r="B109" t="str">
            <v xml:space="preserve">Caminhão Basculante: 1214K - 4 m3 - 7,1 t  </v>
          </cell>
          <cell r="C109" t="str">
            <v xml:space="preserve"> Diesel</v>
          </cell>
          <cell r="D109">
            <v>4.9703999999999997</v>
          </cell>
          <cell r="E109">
            <v>29.4145</v>
          </cell>
        </row>
        <row r="110">
          <cell r="A110" t="str">
            <v>E411</v>
          </cell>
          <cell r="B110" t="str">
            <v xml:space="preserve">Cavalo Mecânico com Reboque: LS1632/45 - 29,5 t  </v>
          </cell>
          <cell r="C110" t="str">
            <v xml:space="preserve"> Diesel</v>
          </cell>
          <cell r="D110">
            <v>5.2809999999999997</v>
          </cell>
          <cell r="E110">
            <v>53.461799999999997</v>
          </cell>
        </row>
        <row r="111">
          <cell r="A111" t="str">
            <v>E412</v>
          </cell>
          <cell r="B111" t="str">
            <v xml:space="preserve">Veículo Leve: GOL 1000 - automóvel até 100 hp  </v>
          </cell>
          <cell r="C111" t="str">
            <v xml:space="preserve"> Gasolina</v>
          </cell>
          <cell r="D111">
            <v>4.5044000000000004</v>
          </cell>
          <cell r="E111">
            <v>16.7941</v>
          </cell>
        </row>
        <row r="112">
          <cell r="A112" t="str">
            <v>E416</v>
          </cell>
          <cell r="B112" t="str">
            <v xml:space="preserve">Veículo Leve: pick up Silverado  </v>
          </cell>
          <cell r="C112" t="str">
            <v xml:space="preserve"> Diesel</v>
          </cell>
          <cell r="D112">
            <v>4.5044000000000004</v>
          </cell>
          <cell r="E112">
            <v>18.8369</v>
          </cell>
        </row>
        <row r="113">
          <cell r="A113" t="str">
            <v>E421</v>
          </cell>
          <cell r="B113" t="str">
            <v xml:space="preserve">Caminhão Tanque: L2318/51 - 13.000 l  </v>
          </cell>
          <cell r="C113" t="str">
            <v xml:space="preserve"> Diesel</v>
          </cell>
          <cell r="D113">
            <v>4.9703999999999997</v>
          </cell>
          <cell r="E113">
            <v>38.420999999999999</v>
          </cell>
        </row>
        <row r="114">
          <cell r="A114" t="str">
            <v>E422</v>
          </cell>
          <cell r="B114" t="str">
            <v xml:space="preserve">Caminhão Tanque: L1620/51 - 8.000 l  </v>
          </cell>
          <cell r="C114" t="str">
            <v xml:space="preserve"> Diesel</v>
          </cell>
          <cell r="D114">
            <v>4.9703999999999997</v>
          </cell>
          <cell r="E114">
            <v>36.441899999999997</v>
          </cell>
        </row>
        <row r="115">
          <cell r="A115" t="str">
            <v>E427</v>
          </cell>
          <cell r="B115" t="str">
            <v xml:space="preserve">Caminhão Betoneira: 16-220 - 11,5 t   5m3  </v>
          </cell>
          <cell r="C115" t="str">
            <v xml:space="preserve"> Diesel</v>
          </cell>
          <cell r="D115">
            <v>4.9703999999999997</v>
          </cell>
          <cell r="E115">
            <v>44.1663</v>
          </cell>
        </row>
        <row r="116">
          <cell r="A116" t="str">
            <v>E432</v>
          </cell>
          <cell r="B116" t="str">
            <v xml:space="preserve">Caminhão Basculante: NL-10-320  6x4 - 20 t  </v>
          </cell>
          <cell r="C116" t="str">
            <v xml:space="preserve"> Diesel</v>
          </cell>
          <cell r="D116">
            <v>4.9703999999999997</v>
          </cell>
          <cell r="E116">
            <v>53.091999999999999</v>
          </cell>
        </row>
        <row r="117">
          <cell r="A117" t="str">
            <v>E433</v>
          </cell>
          <cell r="B117" t="str">
            <v xml:space="preserve">Caminhão Basculante: NL-10-320  6x4 - para rocha  18 t  </v>
          </cell>
          <cell r="C117" t="str">
            <v xml:space="preserve"> Diesel</v>
          </cell>
          <cell r="D117">
            <v>4.9703999999999997</v>
          </cell>
          <cell r="E117">
            <v>54.608899999999998</v>
          </cell>
        </row>
        <row r="118">
          <cell r="A118" t="str">
            <v>E434</v>
          </cell>
          <cell r="B118" t="str">
            <v xml:space="preserve">Caminhão Carroceria: L 1620/51 - c/ guindauto   6 t x m  </v>
          </cell>
          <cell r="C118" t="str">
            <v xml:space="preserve"> Diesel</v>
          </cell>
          <cell r="D118">
            <v>4.9703999999999997</v>
          </cell>
          <cell r="E118">
            <v>38.572800000000001</v>
          </cell>
        </row>
        <row r="119">
          <cell r="A119" t="str">
            <v>E435</v>
          </cell>
          <cell r="B119" t="str">
            <v xml:space="preserve">Caminhão Basculante: LK-1620/51 - p/ rocha   5m3    8 t  </v>
          </cell>
          <cell r="C119" t="str">
            <v xml:space="preserve"> Diesel</v>
          </cell>
          <cell r="D119">
            <v>4.9703999999999997</v>
          </cell>
          <cell r="E119">
            <v>40.184899999999999</v>
          </cell>
        </row>
        <row r="120">
          <cell r="A120" t="str">
            <v>E501</v>
          </cell>
          <cell r="B120" t="str">
            <v xml:space="preserve">Grupo Gerador: GEHMB-44 - 40 / 44 KVA  </v>
          </cell>
          <cell r="C120" t="str">
            <v xml:space="preserve"> Diesel</v>
          </cell>
          <cell r="D120">
            <v>4.1938000000000004</v>
          </cell>
          <cell r="E120">
            <v>13.5405</v>
          </cell>
        </row>
        <row r="121">
          <cell r="A121" t="str">
            <v>E502</v>
          </cell>
          <cell r="B121" t="str">
            <v xml:space="preserve">Grupo Gerador: GEHM-150 - 139 / 150 KVA  </v>
          </cell>
          <cell r="C121" t="str">
            <v xml:space="preserve"> Diesel</v>
          </cell>
          <cell r="D121">
            <v>4.1938000000000004</v>
          </cell>
          <cell r="E121">
            <v>32.253900000000002</v>
          </cell>
        </row>
        <row r="122">
          <cell r="A122" t="str">
            <v>E503</v>
          </cell>
          <cell r="B122" t="str">
            <v xml:space="preserve">Grupo Gerador: GEHM-180 - 165 / 180 KVA  </v>
          </cell>
          <cell r="C122" t="str">
            <v xml:space="preserve"> Diesel</v>
          </cell>
          <cell r="D122">
            <v>4.1938000000000004</v>
          </cell>
          <cell r="E122">
            <v>37.573700000000002</v>
          </cell>
        </row>
        <row r="123">
          <cell r="A123" t="str">
            <v>E504</v>
          </cell>
          <cell r="B123" t="str">
            <v xml:space="preserve">Grupo Gerador: GEHV-285 - 262 / 290 KVA  </v>
          </cell>
          <cell r="C123" t="str">
            <v xml:space="preserve"> Diesel</v>
          </cell>
          <cell r="D123">
            <v>4.1938000000000004</v>
          </cell>
          <cell r="E123">
            <v>60.707599999999999</v>
          </cell>
        </row>
        <row r="124">
          <cell r="A124" t="str">
            <v>E505</v>
          </cell>
          <cell r="B124" t="str">
            <v xml:space="preserve">Grupo Gerador: GEHY-10 - 9 / 10 KVA  </v>
          </cell>
          <cell r="C124" t="str">
            <v xml:space="preserve"> Diesel</v>
          </cell>
          <cell r="D124">
            <v>4.1938000000000004</v>
          </cell>
          <cell r="E124">
            <v>7.2183000000000002</v>
          </cell>
        </row>
        <row r="125">
          <cell r="A125" t="str">
            <v>E507</v>
          </cell>
          <cell r="B125" t="str">
            <v xml:space="preserve">Grupo Gerador: GEHP-110 - 86 / 95 KVA  </v>
          </cell>
          <cell r="C125" t="str">
            <v xml:space="preserve"> Diesel</v>
          </cell>
          <cell r="D125">
            <v>4.1938000000000004</v>
          </cell>
          <cell r="E125">
            <v>25.650099999999998</v>
          </cell>
        </row>
        <row r="126">
          <cell r="A126" t="str">
            <v>E508</v>
          </cell>
          <cell r="B126" t="str">
            <v xml:space="preserve">Grupo Gerador: GEHY-3 - 2,5 / 3,0 KVA  </v>
          </cell>
          <cell r="C126" t="str">
            <v xml:space="preserve"> Diesel</v>
          </cell>
          <cell r="D126">
            <v>4.1938000000000004</v>
          </cell>
          <cell r="E126">
            <v>4.8719999999999999</v>
          </cell>
        </row>
        <row r="127">
          <cell r="A127" t="str">
            <v>E509</v>
          </cell>
          <cell r="B127" t="str">
            <v xml:space="preserve">Grupo Gerador: 25,0 KVA  </v>
          </cell>
          <cell r="C127" t="str">
            <v xml:space="preserve"> Diesel</v>
          </cell>
          <cell r="D127">
            <v>4.1938000000000004</v>
          </cell>
          <cell r="E127">
            <v>9.5383999999999993</v>
          </cell>
        </row>
        <row r="128">
          <cell r="A128" t="str">
            <v>E601</v>
          </cell>
          <cell r="B128" t="str">
            <v xml:space="preserve">Roçadeira: em trator de pneus  </v>
          </cell>
          <cell r="C128" t="str">
            <v xml:space="preserve"> Diesel</v>
          </cell>
          <cell r="D128">
            <v>4.1938000000000004</v>
          </cell>
          <cell r="E128">
            <v>27.7225</v>
          </cell>
        </row>
        <row r="129">
          <cell r="A129" t="str">
            <v>E602</v>
          </cell>
          <cell r="B129" t="str">
            <v xml:space="preserve">Roçadeira: XTA-TC145 - em micro trator  </v>
          </cell>
          <cell r="C129" t="str">
            <v xml:space="preserve"> Diesel</v>
          </cell>
          <cell r="D129">
            <v>4.1938000000000004</v>
          </cell>
          <cell r="E129">
            <v>8.9770000000000003</v>
          </cell>
        </row>
        <row r="130">
          <cell r="A130" t="str">
            <v>E603</v>
          </cell>
          <cell r="B130" t="str">
            <v xml:space="preserve">Roçadeira: FR-108 - mecânica (costal)  </v>
          </cell>
          <cell r="C130" t="str">
            <v xml:space="preserve"> Diesel</v>
          </cell>
          <cell r="D130">
            <v>3.7277999999999998</v>
          </cell>
          <cell r="E130">
            <v>6.5384000000000002</v>
          </cell>
        </row>
        <row r="131">
          <cell r="A131" t="str">
            <v>E901</v>
          </cell>
          <cell r="B131" t="str">
            <v xml:space="preserve">Campânula de Ar Comprimido: 3 m3  </v>
          </cell>
          <cell r="C131" t="str">
            <v xml:space="preserve"> Não utiliza energia</v>
          </cell>
          <cell r="D131">
            <v>0</v>
          </cell>
          <cell r="E131">
            <v>2.6981000000000002</v>
          </cell>
        </row>
        <row r="132">
          <cell r="A132" t="str">
            <v>E902</v>
          </cell>
          <cell r="B132" t="str">
            <v xml:space="preserve">Bate-Estacas: IM-750-PM - de gravidade 500 kg  </v>
          </cell>
          <cell r="C132" t="str">
            <v xml:space="preserve"> Diesel</v>
          </cell>
          <cell r="D132">
            <v>4.1938000000000004</v>
          </cell>
          <cell r="E132">
            <v>9.5035000000000007</v>
          </cell>
        </row>
        <row r="133">
          <cell r="A133" t="str">
            <v>E903</v>
          </cell>
          <cell r="B133" t="str">
            <v xml:space="preserve">Bate-Estacas: IM-1320-BS - de gravidade 3.000 kg  </v>
          </cell>
          <cell r="C133" t="str">
            <v xml:space="preserve"> Diesel</v>
          </cell>
          <cell r="D133">
            <v>4.1938000000000004</v>
          </cell>
          <cell r="E133">
            <v>51.347499999999997</v>
          </cell>
        </row>
        <row r="134">
          <cell r="A134" t="str">
            <v>E904</v>
          </cell>
          <cell r="B134" t="str">
            <v xml:space="preserve">Máquina de Bancada: serra circular de 12"  </v>
          </cell>
          <cell r="C134" t="str">
            <v xml:space="preserve"> Elétrico</v>
          </cell>
          <cell r="D134">
            <v>0</v>
          </cell>
          <cell r="E134">
            <v>0.12239999999999999</v>
          </cell>
        </row>
        <row r="135">
          <cell r="A135" t="str">
            <v>E905</v>
          </cell>
          <cell r="B135" t="str">
            <v xml:space="preserve">Máquina Manual: TU-40 - talha guincho para 4 t  </v>
          </cell>
          <cell r="C135" t="str">
            <v xml:space="preserve"> Não utiliza energia</v>
          </cell>
          <cell r="D135">
            <v>0</v>
          </cell>
          <cell r="E135">
            <v>0.27229999999999999</v>
          </cell>
        </row>
        <row r="136">
          <cell r="A136" t="str">
            <v>E906</v>
          </cell>
          <cell r="B136" t="str">
            <v xml:space="preserve">Compactador Manual: ES600 - soquete vibratório  </v>
          </cell>
          <cell r="C136" t="str">
            <v xml:space="preserve"> Gasolina</v>
          </cell>
          <cell r="D136">
            <v>3.7277999999999998</v>
          </cell>
          <cell r="E136">
            <v>6.2308000000000003</v>
          </cell>
        </row>
        <row r="137">
          <cell r="A137" t="str">
            <v>E907</v>
          </cell>
          <cell r="B137" t="str">
            <v xml:space="preserve">Conjunto Moto-Bomba: 180-SH-75 - com motor  </v>
          </cell>
          <cell r="C137" t="str">
            <v xml:space="preserve"> Gasolina</v>
          </cell>
          <cell r="D137">
            <v>0</v>
          </cell>
          <cell r="E137">
            <v>7.2904999999999998</v>
          </cell>
        </row>
        <row r="138">
          <cell r="A138" t="str">
            <v>E908</v>
          </cell>
          <cell r="B138" t="str">
            <v xml:space="preserve">Máquina para Pintura: 44 - demarcação de faixas autoprop.  </v>
          </cell>
          <cell r="C138" t="str">
            <v xml:space="preserve"> Diesel</v>
          </cell>
          <cell r="D138">
            <v>5.7469999999999999</v>
          </cell>
          <cell r="E138">
            <v>29.155100000000001</v>
          </cell>
        </row>
        <row r="139">
          <cell r="A139" t="str">
            <v>E909</v>
          </cell>
          <cell r="B139" t="str">
            <v xml:space="preserve">Equip. para Hidrosemeadura: 5.500 l  </v>
          </cell>
          <cell r="C139" t="str">
            <v xml:space="preserve"> Diesel</v>
          </cell>
          <cell r="D139">
            <v>4.9703999999999997</v>
          </cell>
          <cell r="E139">
            <v>49.0715</v>
          </cell>
        </row>
        <row r="140">
          <cell r="A140" t="str">
            <v>E910</v>
          </cell>
          <cell r="B140" t="str">
            <v xml:space="preserve">Máquina Manual: 1361 - esmerilhadeira de disco  </v>
          </cell>
          <cell r="C140" t="str">
            <v xml:space="preserve"> Elétrico</v>
          </cell>
          <cell r="D140">
            <v>0</v>
          </cell>
          <cell r="E140">
            <v>5.9499999999999997E-2</v>
          </cell>
        </row>
        <row r="141">
          <cell r="A141" t="str">
            <v>E911</v>
          </cell>
          <cell r="B141" t="str">
            <v xml:space="preserve">Tripé-Sonda: MACH 850 - Tripé-Sonda com motor  </v>
          </cell>
          <cell r="C141" t="str">
            <v xml:space="preserve"> Diesel</v>
          </cell>
          <cell r="D141">
            <v>0</v>
          </cell>
          <cell r="E141">
            <v>10.1454</v>
          </cell>
        </row>
        <row r="142">
          <cell r="A142" t="str">
            <v>E912</v>
          </cell>
          <cell r="B142" t="str">
            <v xml:space="preserve">Máquina Manual: 1184 - furadeira elétrica de Impacto  </v>
          </cell>
          <cell r="C142" t="str">
            <v xml:space="preserve"> Elétrico</v>
          </cell>
          <cell r="D142">
            <v>0</v>
          </cell>
          <cell r="E142">
            <v>2.9499999999999998E-2</v>
          </cell>
        </row>
        <row r="143">
          <cell r="A143" t="str">
            <v>E914</v>
          </cell>
          <cell r="B143" t="str">
            <v xml:space="preserve">Compactador Manual: VPY-1750 - placa vibratória c/ motor  </v>
          </cell>
          <cell r="C143" t="str">
            <v xml:space="preserve"> Diesel</v>
          </cell>
          <cell r="D143">
            <v>3.7277999999999998</v>
          </cell>
          <cell r="E143">
            <v>5.5388999999999999</v>
          </cell>
        </row>
        <row r="144">
          <cell r="A144" t="str">
            <v>E915</v>
          </cell>
          <cell r="B144" t="str">
            <v xml:space="preserve">Vassoura Mecânica: equip. varred. aspirad.  </v>
          </cell>
          <cell r="C144" t="str">
            <v xml:space="preserve"> Diesel</v>
          </cell>
          <cell r="D144">
            <v>4.9703999999999997</v>
          </cell>
          <cell r="E144">
            <v>59.407400000000003</v>
          </cell>
        </row>
        <row r="145">
          <cell r="A145" t="str">
            <v>E916</v>
          </cell>
          <cell r="B145" t="str">
            <v xml:space="preserve">Máquina Manual: moto serra nº 8  </v>
          </cell>
          <cell r="C145" t="str">
            <v xml:space="preserve"> Gasolina</v>
          </cell>
          <cell r="D145">
            <v>3.7277999999999998</v>
          </cell>
          <cell r="E145">
            <v>7.4124999999999996</v>
          </cell>
        </row>
        <row r="146">
          <cell r="A146" t="str">
            <v>E917</v>
          </cell>
          <cell r="B146" t="str">
            <v xml:space="preserve">Máquina de Bancada: C-6A universal de corte p/ chapa  </v>
          </cell>
          <cell r="C146" t="str">
            <v xml:space="preserve"> Elétrico</v>
          </cell>
          <cell r="D146">
            <v>3.7277999999999998</v>
          </cell>
          <cell r="E146">
            <v>4.8696999999999999</v>
          </cell>
        </row>
        <row r="147">
          <cell r="A147" t="str">
            <v>E918</v>
          </cell>
          <cell r="B147" t="str">
            <v xml:space="preserve">Máquina de Bancada: EB-08 - prensa excêntrica  </v>
          </cell>
          <cell r="C147" t="str">
            <v xml:space="preserve"> Elétrico</v>
          </cell>
          <cell r="D147">
            <v>0</v>
          </cell>
          <cell r="E147">
            <v>0.41660000000000003</v>
          </cell>
        </row>
        <row r="148">
          <cell r="A148" t="str">
            <v>E919</v>
          </cell>
          <cell r="B148" t="str">
            <v xml:space="preserve">Máquina de Bancada: GMN 1202 - guilhotina   8 t  </v>
          </cell>
          <cell r="C148" t="str">
            <v xml:space="preserve"> Elétrico</v>
          </cell>
          <cell r="D148">
            <v>0</v>
          </cell>
          <cell r="E148">
            <v>0.94179999999999997</v>
          </cell>
        </row>
        <row r="149">
          <cell r="A149" t="str">
            <v>E920</v>
          </cell>
          <cell r="B149" t="str">
            <v xml:space="preserve">Máquina para Pintura: FX45-HSP - de faixa a quente p/ mat. termop.  </v>
          </cell>
          <cell r="C149" t="str">
            <v xml:space="preserve"> Diesel</v>
          </cell>
          <cell r="D149">
            <v>5.7469999999999999</v>
          </cell>
          <cell r="E149">
            <v>30.822399999999998</v>
          </cell>
        </row>
        <row r="150">
          <cell r="A150" t="str">
            <v>E921</v>
          </cell>
          <cell r="B150" t="str">
            <v xml:space="preserve">Fusor: 600 l  </v>
          </cell>
          <cell r="C150" t="str">
            <v xml:space="preserve"> Diesel</v>
          </cell>
          <cell r="D150">
            <v>0</v>
          </cell>
          <cell r="E150">
            <v>13.382400000000001</v>
          </cell>
        </row>
        <row r="151">
          <cell r="A151" t="str">
            <v>E922</v>
          </cell>
          <cell r="B151" t="str">
            <v xml:space="preserve">Martelete: perfurador/ rompedor elétrico 11316  </v>
          </cell>
          <cell r="C151" t="str">
            <v xml:space="preserve"> Elétrico</v>
          </cell>
          <cell r="D151">
            <v>3.7277999999999998</v>
          </cell>
          <cell r="E151">
            <v>4.0044000000000004</v>
          </cell>
        </row>
        <row r="152">
          <cell r="A152" t="str">
            <v>E923</v>
          </cell>
          <cell r="B152" t="str">
            <v xml:space="preserve">Máquina Manual: lixadeira 1353-7"  </v>
          </cell>
          <cell r="C152" t="str">
            <v xml:space="preserve"> Elétrico</v>
          </cell>
          <cell r="D152">
            <v>0</v>
          </cell>
          <cell r="E152">
            <v>7.5899999999999995E-2</v>
          </cell>
        </row>
        <row r="153">
          <cell r="A153" t="str">
            <v>E924</v>
          </cell>
          <cell r="B153" t="str">
            <v xml:space="preserve">Equip. para Solda: Bantam 2000 - transformador solda elétr. 250 amp  </v>
          </cell>
          <cell r="C153" t="str">
            <v xml:space="preserve"> Elétrico</v>
          </cell>
          <cell r="D153">
            <v>0</v>
          </cell>
          <cell r="E153">
            <v>3.73E-2</v>
          </cell>
        </row>
        <row r="154">
          <cell r="A154" t="str">
            <v>E925</v>
          </cell>
          <cell r="B154" t="str">
            <v xml:space="preserve">Aplicador de Material Termoplástico: por extrusão  </v>
          </cell>
          <cell r="C154" t="str">
            <v xml:space="preserve"> Diesel</v>
          </cell>
          <cell r="D154">
            <v>0</v>
          </cell>
          <cell r="E154">
            <v>4.17</v>
          </cell>
        </row>
      </sheetData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ado"/>
      <sheetName val="Realizado"/>
      <sheetName val="Produtividade Geral"/>
      <sheetName val="Painel de Vizualização"/>
      <sheetName val="Resumo Dinâmico"/>
    </sheetNames>
    <sheetDataSet>
      <sheetData sheetId="0">
        <row r="6">
          <cell r="L6" t="str">
            <v>Ailton</v>
          </cell>
        </row>
        <row r="7">
          <cell r="L7" t="str">
            <v>Antonio</v>
          </cell>
        </row>
        <row r="8">
          <cell r="L8" t="str">
            <v>Reinaldo</v>
          </cell>
        </row>
        <row r="9">
          <cell r="L9" t="str">
            <v>Severino</v>
          </cell>
        </row>
        <row r="10">
          <cell r="L10" t="str">
            <v>Hugo</v>
          </cell>
        </row>
        <row r="11">
          <cell r="L11" t="str">
            <v>Rosivan</v>
          </cell>
        </row>
        <row r="12">
          <cell r="L12" t="str">
            <v>Azevedo</v>
          </cell>
        </row>
        <row r="13">
          <cell r="L13" t="str">
            <v>Cristiano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ções"/>
      <sheetName val="METAFISICA DEZ2018"/>
      <sheetName val="ANALISE CRITICA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AURAÇÃO 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Plan4"/>
      <sheetName val="Plan5"/>
      <sheetName val="Plan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BM 05 ADITIVO"/>
      <sheetName val="MOVIMENTAÇÃO DE MATERIAL"/>
      <sheetName val="Table 25"/>
      <sheetName val="Table 26"/>
      <sheetName val="Table 27"/>
    </sheetNames>
    <sheetDataSet>
      <sheetData sheetId="0"/>
      <sheetData sheetId="1">
        <row r="3">
          <cell r="J3">
            <v>840</v>
          </cell>
        </row>
        <row r="4">
          <cell r="J4">
            <v>600</v>
          </cell>
        </row>
        <row r="5">
          <cell r="J5">
            <v>41850</v>
          </cell>
        </row>
        <row r="6">
          <cell r="J6">
            <v>900</v>
          </cell>
        </row>
        <row r="7">
          <cell r="J7">
            <v>600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2C28-908F-4F4A-9146-813205ABEE25}">
  <sheetPr>
    <pageSetUpPr fitToPage="1"/>
  </sheetPr>
  <dimension ref="A1:J208"/>
  <sheetViews>
    <sheetView showGridLines="0" view="pageBreakPreview" zoomScale="70" zoomScaleNormal="100" zoomScaleSheetLayoutView="70" workbookViewId="0">
      <selection activeCell="F9" sqref="F9"/>
    </sheetView>
  </sheetViews>
  <sheetFormatPr defaultColWidth="9" defaultRowHeight="12" x14ac:dyDescent="0.2"/>
  <cols>
    <col min="1" max="1" width="15.33203125" style="1" customWidth="1"/>
    <col min="2" max="2" width="14.83203125" style="8" customWidth="1"/>
    <col min="3" max="3" width="95.33203125" style="1" customWidth="1"/>
    <col min="4" max="4" width="6.6640625" style="7" customWidth="1"/>
    <col min="5" max="5" width="16" style="3" customWidth="1"/>
    <col min="6" max="6" width="35.1640625" style="3" customWidth="1"/>
    <col min="7" max="7" width="14.33203125" style="3" customWidth="1"/>
    <col min="8" max="8" width="31.83203125" style="3" customWidth="1"/>
    <col min="9" max="9" width="16.5" style="1" customWidth="1"/>
    <col min="10" max="10" width="13.83203125" style="1" customWidth="1"/>
    <col min="11" max="16384" width="9" style="1"/>
  </cols>
  <sheetData>
    <row r="1" spans="1:10" s="10" customFormat="1" ht="12.75" x14ac:dyDescent="0.2">
      <c r="A1" s="15"/>
      <c r="B1" s="16"/>
      <c r="C1" s="16"/>
      <c r="D1" s="16"/>
      <c r="E1" s="16"/>
      <c r="F1" s="16"/>
      <c r="G1" s="16"/>
      <c r="H1" s="16"/>
    </row>
    <row r="2" spans="1:10" s="10" customFormat="1" ht="12.75" x14ac:dyDescent="0.2">
      <c r="A2" s="221" t="s">
        <v>93</v>
      </c>
      <c r="B2" s="222"/>
      <c r="C2" s="222"/>
      <c r="D2" s="18"/>
      <c r="E2" s="19"/>
      <c r="F2" s="19"/>
      <c r="G2" s="19"/>
      <c r="H2" s="19"/>
    </row>
    <row r="3" spans="1:10" s="10" customFormat="1" ht="12.75" x14ac:dyDescent="0.2">
      <c r="A3" s="221"/>
      <c r="B3" s="222"/>
      <c r="C3" s="222"/>
      <c r="D3" s="18"/>
      <c r="E3" s="19"/>
      <c r="F3" s="19"/>
      <c r="G3" s="19"/>
      <c r="H3" s="19"/>
    </row>
    <row r="4" spans="1:10" s="10" customFormat="1" ht="12.75" x14ac:dyDescent="0.2">
      <c r="A4" s="21"/>
      <c r="B4" s="22"/>
      <c r="C4" s="23"/>
      <c r="D4" s="22"/>
      <c r="E4" s="24"/>
      <c r="F4" s="24"/>
      <c r="G4" s="24"/>
      <c r="H4" s="24"/>
    </row>
    <row r="5" spans="1:10" s="10" customFormat="1" ht="27.95" customHeight="1" x14ac:dyDescent="0.2">
      <c r="A5" s="221" t="s">
        <v>95</v>
      </c>
      <c r="B5" s="222"/>
      <c r="C5" s="222"/>
      <c r="D5" s="222"/>
      <c r="E5" s="222"/>
      <c r="F5" s="222"/>
      <c r="G5" s="222"/>
      <c r="H5" s="222"/>
    </row>
    <row r="6" spans="1:10" s="10" customFormat="1" ht="12.75" x14ac:dyDescent="0.2">
      <c r="A6" s="25"/>
      <c r="D6" s="22"/>
      <c r="E6" s="24"/>
      <c r="F6" s="24"/>
      <c r="G6" s="24"/>
      <c r="H6" s="24"/>
    </row>
    <row r="7" spans="1:10" s="10" customFormat="1" ht="15.75" x14ac:dyDescent="0.2">
      <c r="A7" s="232" t="s">
        <v>454</v>
      </c>
      <c r="B7" s="233"/>
      <c r="C7" s="233"/>
      <c r="D7" s="233"/>
      <c r="E7" s="233"/>
      <c r="F7" s="233"/>
      <c r="G7" s="233"/>
      <c r="H7" s="233"/>
    </row>
    <row r="8" spans="1:10" s="10" customFormat="1" ht="12.75" x14ac:dyDescent="0.2">
      <c r="A8" s="26" t="s">
        <v>91</v>
      </c>
      <c r="B8" s="14" t="s">
        <v>94</v>
      </c>
      <c r="C8" s="11"/>
      <c r="D8" s="11"/>
      <c r="E8" s="89" t="s">
        <v>457</v>
      </c>
      <c r="F8" s="87">
        <f>'BM 11 do Contrato'!F8</f>
        <v>11</v>
      </c>
      <c r="G8" s="12"/>
      <c r="H8" s="12"/>
    </row>
    <row r="9" spans="1:10" s="10" customFormat="1" ht="12.75" x14ac:dyDescent="0.2">
      <c r="A9" s="28" t="s">
        <v>455</v>
      </c>
      <c r="B9" s="29" t="s">
        <v>456</v>
      </c>
      <c r="C9" s="29"/>
      <c r="D9" s="29"/>
      <c r="E9" s="88" t="s">
        <v>458</v>
      </c>
      <c r="F9" s="90" t="str">
        <f>'BM 11 do Contrato'!F9</f>
        <v>01/01/25 à 07/02/25</v>
      </c>
      <c r="G9" s="29"/>
      <c r="H9" s="29"/>
    </row>
    <row r="10" spans="1:10" s="10" customFormat="1" ht="12.75" x14ac:dyDescent="0.2">
      <c r="A10" s="234" t="s">
        <v>15</v>
      </c>
      <c r="B10" s="234" t="s">
        <v>90</v>
      </c>
      <c r="C10" s="234" t="s">
        <v>16</v>
      </c>
      <c r="D10" s="234" t="s">
        <v>17</v>
      </c>
      <c r="E10" s="235" t="s">
        <v>451</v>
      </c>
      <c r="F10" s="235"/>
      <c r="G10" s="235"/>
      <c r="H10" s="235"/>
      <c r="I10" s="223" t="s">
        <v>459</v>
      </c>
      <c r="J10" s="224"/>
    </row>
    <row r="11" spans="1:10" ht="42" customHeight="1" x14ac:dyDescent="0.2">
      <c r="A11" s="234"/>
      <c r="B11" s="234"/>
      <c r="C11" s="234"/>
      <c r="D11" s="234"/>
      <c r="E11" s="32" t="s">
        <v>446</v>
      </c>
      <c r="F11" s="32" t="s">
        <v>484</v>
      </c>
      <c r="G11" s="32" t="s">
        <v>485</v>
      </c>
      <c r="H11" s="32" t="s">
        <v>486</v>
      </c>
      <c r="I11" s="1" t="s">
        <v>10</v>
      </c>
      <c r="J11" s="1" t="s">
        <v>453</v>
      </c>
    </row>
    <row r="12" spans="1:10" ht="19.5" customHeight="1" x14ac:dyDescent="0.2">
      <c r="A12" s="32"/>
      <c r="B12" s="32"/>
      <c r="C12" s="32"/>
      <c r="D12" s="32"/>
      <c r="E12" s="32"/>
      <c r="F12" s="32"/>
      <c r="G12" s="32"/>
      <c r="H12" s="32"/>
    </row>
    <row r="13" spans="1:10" customFormat="1" ht="12.75" x14ac:dyDescent="0.2">
      <c r="A13" s="55" t="s">
        <v>18</v>
      </c>
      <c r="B13" s="56"/>
      <c r="C13" s="55" t="s">
        <v>11</v>
      </c>
      <c r="D13" s="57"/>
      <c r="E13" s="57"/>
      <c r="F13" s="57"/>
      <c r="G13" s="57"/>
      <c r="H13" s="57"/>
    </row>
    <row r="14" spans="1:10" customFormat="1" ht="12.75" x14ac:dyDescent="0.2">
      <c r="A14" s="48" t="s">
        <v>19</v>
      </c>
      <c r="B14" s="49"/>
      <c r="C14" s="48" t="s">
        <v>96</v>
      </c>
      <c r="D14" s="50"/>
      <c r="E14" s="50"/>
      <c r="F14" s="50"/>
      <c r="G14" s="50"/>
      <c r="H14" s="50"/>
    </row>
    <row r="15" spans="1:10" customFormat="1" ht="12.75" x14ac:dyDescent="0.2">
      <c r="A15" s="37" t="s">
        <v>20</v>
      </c>
      <c r="B15" s="38" t="s">
        <v>97</v>
      </c>
      <c r="C15" s="37" t="s">
        <v>98</v>
      </c>
      <c r="D15" s="39" t="s">
        <v>29</v>
      </c>
      <c r="E15" s="78">
        <v>40</v>
      </c>
      <c r="F15" s="99"/>
      <c r="G15" s="45"/>
      <c r="H15" s="45"/>
    </row>
    <row r="16" spans="1:10" customFormat="1" ht="12.75" x14ac:dyDescent="0.2">
      <c r="A16" s="48" t="s">
        <v>23</v>
      </c>
      <c r="B16" s="49"/>
      <c r="C16" s="48" t="s">
        <v>99</v>
      </c>
      <c r="D16" s="50"/>
      <c r="E16" s="79" t="s">
        <v>445</v>
      </c>
      <c r="F16" s="66"/>
      <c r="G16" s="66"/>
      <c r="H16" s="66"/>
    </row>
    <row r="17" spans="1:10" customFormat="1" ht="25.5" x14ac:dyDescent="0.2">
      <c r="A17" s="37" t="s">
        <v>24</v>
      </c>
      <c r="B17" s="38" t="s">
        <v>100</v>
      </c>
      <c r="C17" s="37" t="s">
        <v>101</v>
      </c>
      <c r="D17" s="39" t="s">
        <v>29</v>
      </c>
      <c r="E17" s="78">
        <v>30</v>
      </c>
      <c r="F17" s="99"/>
      <c r="G17" s="45"/>
      <c r="H17" s="100"/>
    </row>
    <row r="18" spans="1:10" s="34" customFormat="1" ht="25.5" x14ac:dyDescent="0.2">
      <c r="A18" s="37" t="s">
        <v>25</v>
      </c>
      <c r="B18" s="38" t="s">
        <v>102</v>
      </c>
      <c r="C18" s="37" t="s">
        <v>103</v>
      </c>
      <c r="D18" s="39" t="s">
        <v>22</v>
      </c>
      <c r="E18" s="78">
        <v>45</v>
      </c>
      <c r="F18" s="99"/>
      <c r="G18" s="45"/>
      <c r="H18" s="100"/>
    </row>
    <row r="19" spans="1:10" customFormat="1" ht="12.75" x14ac:dyDescent="0.2">
      <c r="A19" s="37" t="s">
        <v>26</v>
      </c>
      <c r="B19" s="38" t="s">
        <v>104</v>
      </c>
      <c r="C19" s="37" t="s">
        <v>78</v>
      </c>
      <c r="D19" s="39" t="s">
        <v>37</v>
      </c>
      <c r="E19" s="78">
        <v>500</v>
      </c>
      <c r="F19" s="45"/>
      <c r="G19" s="45">
        <v>50</v>
      </c>
      <c r="H19" s="100" t="s">
        <v>488</v>
      </c>
    </row>
    <row r="20" spans="1:10" customFormat="1" ht="25.5" x14ac:dyDescent="0.2">
      <c r="A20" s="37" t="s">
        <v>105</v>
      </c>
      <c r="B20" s="38" t="s">
        <v>106</v>
      </c>
      <c r="C20" s="37" t="s">
        <v>77</v>
      </c>
      <c r="D20" s="39" t="s">
        <v>37</v>
      </c>
      <c r="E20" s="78">
        <v>500</v>
      </c>
      <c r="F20" s="45"/>
      <c r="G20" s="45"/>
      <c r="H20" s="45"/>
    </row>
    <row r="21" spans="1:10" customFormat="1" ht="12.75" x14ac:dyDescent="0.2">
      <c r="A21" s="48" t="s">
        <v>27</v>
      </c>
      <c r="B21" s="49"/>
      <c r="C21" s="48" t="s">
        <v>107</v>
      </c>
      <c r="D21" s="50"/>
      <c r="E21" s="79" t="s">
        <v>445</v>
      </c>
      <c r="F21" s="66"/>
      <c r="G21" s="66"/>
      <c r="H21" s="66"/>
    </row>
    <row r="22" spans="1:10" customFormat="1" ht="12.75" x14ac:dyDescent="0.2">
      <c r="A22" s="37" t="s">
        <v>28</v>
      </c>
      <c r="B22" s="38" t="s">
        <v>108</v>
      </c>
      <c r="C22" s="37" t="s">
        <v>109</v>
      </c>
      <c r="D22" s="39" t="s">
        <v>22</v>
      </c>
      <c r="E22" s="78">
        <v>13</v>
      </c>
      <c r="F22" s="45"/>
      <c r="G22" s="45"/>
      <c r="H22" s="45"/>
    </row>
    <row r="23" spans="1:10" customFormat="1" ht="12.75" x14ac:dyDescent="0.2">
      <c r="A23" s="55" t="s">
        <v>31</v>
      </c>
      <c r="B23" s="56"/>
      <c r="C23" s="55" t="s">
        <v>110</v>
      </c>
      <c r="D23" s="57"/>
      <c r="E23" s="80" t="s">
        <v>445</v>
      </c>
      <c r="F23" s="62"/>
      <c r="G23" s="62"/>
      <c r="H23" s="62"/>
    </row>
    <row r="24" spans="1:10" customFormat="1" ht="12.75" x14ac:dyDescent="0.2">
      <c r="A24" s="48" t="s">
        <v>32</v>
      </c>
      <c r="B24" s="49"/>
      <c r="C24" s="48" t="s">
        <v>111</v>
      </c>
      <c r="D24" s="50"/>
      <c r="E24" s="79" t="s">
        <v>445</v>
      </c>
      <c r="F24" s="66"/>
      <c r="G24" s="66"/>
      <c r="H24" s="66"/>
    </row>
    <row r="25" spans="1:10" customFormat="1" ht="25.5" x14ac:dyDescent="0.2">
      <c r="A25" s="37" t="s">
        <v>33</v>
      </c>
      <c r="B25" s="38" t="s">
        <v>112</v>
      </c>
      <c r="C25" s="37" t="s">
        <v>113</v>
      </c>
      <c r="D25" s="39" t="s">
        <v>29</v>
      </c>
      <c r="E25" s="78">
        <v>5000</v>
      </c>
      <c r="F25" s="45"/>
      <c r="G25" s="44">
        <f>(J25)</f>
        <v>833.33333333333337</v>
      </c>
      <c r="H25" s="45"/>
      <c r="J25">
        <f t="shared" ref="J25:J48" si="0">(E25/180)*30</f>
        <v>833.33333333333337</v>
      </c>
    </row>
    <row r="26" spans="1:10" customFormat="1" ht="25.5" x14ac:dyDescent="0.2">
      <c r="A26" s="37" t="s">
        <v>34</v>
      </c>
      <c r="B26" s="38" t="s">
        <v>114</v>
      </c>
      <c r="C26" s="37" t="s">
        <v>115</v>
      </c>
      <c r="D26" s="39" t="s">
        <v>14</v>
      </c>
      <c r="E26" s="78">
        <v>500</v>
      </c>
      <c r="F26" s="45"/>
      <c r="G26" s="44">
        <f>(J26)</f>
        <v>83.333333333333329</v>
      </c>
      <c r="H26" s="45"/>
      <c r="J26">
        <f t="shared" si="0"/>
        <v>83.333333333333329</v>
      </c>
    </row>
    <row r="27" spans="1:10" customFormat="1" ht="12.75" x14ac:dyDescent="0.2">
      <c r="A27" s="48" t="s">
        <v>35</v>
      </c>
      <c r="B27" s="49"/>
      <c r="C27" s="48" t="s">
        <v>116</v>
      </c>
      <c r="D27" s="50"/>
      <c r="E27" s="79" t="s">
        <v>445</v>
      </c>
      <c r="F27" s="66"/>
      <c r="G27" s="66"/>
      <c r="H27" s="66"/>
      <c r="J27" t="e">
        <f t="shared" si="0"/>
        <v>#VALUE!</v>
      </c>
    </row>
    <row r="28" spans="1:10" customFormat="1" ht="25.5" x14ac:dyDescent="0.2">
      <c r="A28" s="37" t="s">
        <v>36</v>
      </c>
      <c r="B28" s="38" t="s">
        <v>117</v>
      </c>
      <c r="C28" s="37" t="s">
        <v>118</v>
      </c>
      <c r="D28" s="39" t="s">
        <v>14</v>
      </c>
      <c r="E28" s="78">
        <v>90</v>
      </c>
      <c r="F28" s="45"/>
      <c r="G28" s="44">
        <f>(J28)</f>
        <v>15</v>
      </c>
      <c r="H28" s="45"/>
      <c r="J28">
        <f t="shared" si="0"/>
        <v>15</v>
      </c>
    </row>
    <row r="29" spans="1:10" customFormat="1" ht="25.5" x14ac:dyDescent="0.2">
      <c r="A29" s="37" t="s">
        <v>38</v>
      </c>
      <c r="B29" s="35">
        <v>5914359</v>
      </c>
      <c r="C29" s="37" t="s">
        <v>119</v>
      </c>
      <c r="D29" s="39" t="s">
        <v>120</v>
      </c>
      <c r="E29" s="78">
        <v>608</v>
      </c>
      <c r="F29" s="45"/>
      <c r="G29" s="44">
        <f t="shared" ref="G29:G48" si="1">(J29)</f>
        <v>101.33333333333333</v>
      </c>
      <c r="H29" s="45"/>
      <c r="J29">
        <f t="shared" si="0"/>
        <v>101.33333333333333</v>
      </c>
    </row>
    <row r="30" spans="1:10" customFormat="1" ht="25.5" x14ac:dyDescent="0.2">
      <c r="A30" s="37" t="s">
        <v>39</v>
      </c>
      <c r="B30" s="35"/>
      <c r="C30" s="37" t="s">
        <v>121</v>
      </c>
      <c r="D30" s="39" t="s">
        <v>120</v>
      </c>
      <c r="E30" s="78">
        <v>426</v>
      </c>
      <c r="F30" s="45"/>
      <c r="G30" s="44">
        <f t="shared" si="1"/>
        <v>71</v>
      </c>
      <c r="H30" s="45"/>
      <c r="J30">
        <f t="shared" si="0"/>
        <v>71</v>
      </c>
    </row>
    <row r="31" spans="1:10" customFormat="1" ht="12.75" x14ac:dyDescent="0.2">
      <c r="A31" s="37" t="s">
        <v>40</v>
      </c>
      <c r="B31" s="38" t="s">
        <v>122</v>
      </c>
      <c r="C31" s="37" t="s">
        <v>123</v>
      </c>
      <c r="D31" s="39" t="s">
        <v>14</v>
      </c>
      <c r="E31" s="78">
        <v>72</v>
      </c>
      <c r="F31" s="45"/>
      <c r="G31" s="44">
        <f t="shared" si="1"/>
        <v>12</v>
      </c>
      <c r="H31" s="45"/>
      <c r="J31">
        <f t="shared" si="0"/>
        <v>12</v>
      </c>
    </row>
    <row r="32" spans="1:10" customFormat="1" ht="12.75" x14ac:dyDescent="0.2">
      <c r="A32" s="48" t="s">
        <v>9</v>
      </c>
      <c r="B32" s="49"/>
      <c r="C32" s="48" t="s">
        <v>124</v>
      </c>
      <c r="D32" s="50"/>
      <c r="E32" s="79" t="s">
        <v>445</v>
      </c>
      <c r="F32" s="66"/>
      <c r="G32" s="66"/>
      <c r="H32" s="66"/>
      <c r="J32" t="e">
        <f t="shared" si="0"/>
        <v>#VALUE!</v>
      </c>
    </row>
    <row r="33" spans="1:10" customFormat="1" ht="12.75" x14ac:dyDescent="0.2">
      <c r="A33" s="37" t="s">
        <v>0</v>
      </c>
      <c r="B33" s="38" t="s">
        <v>125</v>
      </c>
      <c r="C33" s="37" t="s">
        <v>126</v>
      </c>
      <c r="D33" s="39" t="s">
        <v>29</v>
      </c>
      <c r="E33" s="78">
        <v>600</v>
      </c>
      <c r="F33" s="45"/>
      <c r="G33" s="44">
        <f t="shared" si="1"/>
        <v>100</v>
      </c>
      <c r="H33" s="45"/>
      <c r="J33">
        <f t="shared" si="0"/>
        <v>100</v>
      </c>
    </row>
    <row r="34" spans="1:10" customFormat="1" ht="12.75" x14ac:dyDescent="0.2">
      <c r="A34" s="48" t="s">
        <v>1</v>
      </c>
      <c r="B34" s="49"/>
      <c r="C34" s="48" t="s">
        <v>127</v>
      </c>
      <c r="D34" s="50"/>
      <c r="E34" s="79" t="s">
        <v>445</v>
      </c>
      <c r="F34" s="66"/>
      <c r="G34" s="66"/>
      <c r="H34" s="66"/>
      <c r="J34" t="e">
        <f t="shared" si="0"/>
        <v>#VALUE!</v>
      </c>
    </row>
    <row r="35" spans="1:10" customFormat="1" ht="12.75" x14ac:dyDescent="0.2">
      <c r="A35" s="37" t="s">
        <v>2</v>
      </c>
      <c r="B35" s="38" t="s">
        <v>128</v>
      </c>
      <c r="C35" s="37" t="s">
        <v>129</v>
      </c>
      <c r="D35" s="39" t="s">
        <v>22</v>
      </c>
      <c r="E35" s="78">
        <v>1</v>
      </c>
      <c r="F35" s="45"/>
      <c r="G35" s="44">
        <f t="shared" si="1"/>
        <v>0.16666666666666669</v>
      </c>
      <c r="H35" s="45"/>
      <c r="J35">
        <f t="shared" si="0"/>
        <v>0.16666666666666669</v>
      </c>
    </row>
    <row r="36" spans="1:10" customFormat="1" ht="25.5" x14ac:dyDescent="0.2">
      <c r="A36" s="37" t="s">
        <v>3</v>
      </c>
      <c r="B36" s="38" t="s">
        <v>130</v>
      </c>
      <c r="C36" s="37" t="s">
        <v>131</v>
      </c>
      <c r="D36" s="39" t="s">
        <v>22</v>
      </c>
      <c r="E36" s="78">
        <v>1</v>
      </c>
      <c r="F36" s="45"/>
      <c r="G36" s="44">
        <f t="shared" si="1"/>
        <v>0.16666666666666669</v>
      </c>
      <c r="H36" s="45"/>
      <c r="J36">
        <f t="shared" si="0"/>
        <v>0.16666666666666669</v>
      </c>
    </row>
    <row r="37" spans="1:10" customFormat="1" ht="25.5" x14ac:dyDescent="0.2">
      <c r="A37" s="37" t="s">
        <v>4</v>
      </c>
      <c r="B37" s="38" t="s">
        <v>132</v>
      </c>
      <c r="C37" s="37" t="s">
        <v>133</v>
      </c>
      <c r="D37" s="39" t="s">
        <v>29</v>
      </c>
      <c r="E37" s="78">
        <v>85</v>
      </c>
      <c r="F37" s="45"/>
      <c r="G37" s="44">
        <f t="shared" si="1"/>
        <v>14.166666666666666</v>
      </c>
      <c r="H37" s="45"/>
      <c r="J37">
        <f t="shared" si="0"/>
        <v>14.166666666666666</v>
      </c>
    </row>
    <row r="38" spans="1:10" customFormat="1" ht="25.5" x14ac:dyDescent="0.2">
      <c r="A38" s="37" t="s">
        <v>5</v>
      </c>
      <c r="B38" s="38" t="s">
        <v>134</v>
      </c>
      <c r="C38" s="37" t="s">
        <v>135</v>
      </c>
      <c r="D38" s="39" t="s">
        <v>22</v>
      </c>
      <c r="E38" s="78">
        <v>1</v>
      </c>
      <c r="F38" s="45"/>
      <c r="G38" s="44">
        <f t="shared" si="1"/>
        <v>0.16666666666666669</v>
      </c>
      <c r="H38" s="45"/>
      <c r="J38">
        <f t="shared" si="0"/>
        <v>0.16666666666666669</v>
      </c>
    </row>
    <row r="39" spans="1:10" customFormat="1" ht="25.5" x14ac:dyDescent="0.2">
      <c r="A39" s="37" t="s">
        <v>136</v>
      </c>
      <c r="B39" s="38" t="s">
        <v>137</v>
      </c>
      <c r="C39" s="37" t="s">
        <v>138</v>
      </c>
      <c r="D39" s="39" t="s">
        <v>22</v>
      </c>
      <c r="E39" s="78">
        <v>1</v>
      </c>
      <c r="F39" s="45"/>
      <c r="G39" s="44">
        <f t="shared" si="1"/>
        <v>0.16666666666666669</v>
      </c>
      <c r="H39" s="45"/>
      <c r="J39">
        <f t="shared" si="0"/>
        <v>0.16666666666666669</v>
      </c>
    </row>
    <row r="40" spans="1:10" customFormat="1" ht="12.75" x14ac:dyDescent="0.2">
      <c r="A40" s="48" t="s">
        <v>139</v>
      </c>
      <c r="B40" s="49"/>
      <c r="C40" s="48" t="s">
        <v>140</v>
      </c>
      <c r="D40" s="50"/>
      <c r="E40" s="79" t="s">
        <v>445</v>
      </c>
      <c r="F40" s="66"/>
      <c r="G40" s="66"/>
      <c r="H40" s="66"/>
      <c r="J40" t="e">
        <f t="shared" si="0"/>
        <v>#VALUE!</v>
      </c>
    </row>
    <row r="41" spans="1:10" customFormat="1" ht="25.5" x14ac:dyDescent="0.2">
      <c r="A41" s="38" t="s">
        <v>6</v>
      </c>
      <c r="B41" s="38" t="s">
        <v>141</v>
      </c>
      <c r="C41" s="41" t="s">
        <v>142</v>
      </c>
      <c r="D41" s="39" t="s">
        <v>143</v>
      </c>
      <c r="E41" s="78">
        <v>1</v>
      </c>
      <c r="F41" s="45"/>
      <c r="G41" s="44">
        <f t="shared" si="1"/>
        <v>0.16666666666666669</v>
      </c>
      <c r="H41" s="45"/>
      <c r="J41">
        <f t="shared" si="0"/>
        <v>0.16666666666666669</v>
      </c>
    </row>
    <row r="42" spans="1:10" customFormat="1" ht="12.75" x14ac:dyDescent="0.2">
      <c r="A42" s="38" t="s">
        <v>7</v>
      </c>
      <c r="B42" s="38">
        <v>41598</v>
      </c>
      <c r="C42" s="41" t="s">
        <v>144</v>
      </c>
      <c r="D42" s="39" t="s">
        <v>22</v>
      </c>
      <c r="E42" s="78">
        <v>1</v>
      </c>
      <c r="F42" s="45"/>
      <c r="G42" s="44">
        <f t="shared" si="1"/>
        <v>0.16666666666666669</v>
      </c>
      <c r="H42" s="45"/>
      <c r="J42">
        <f t="shared" si="0"/>
        <v>0.16666666666666669</v>
      </c>
    </row>
    <row r="43" spans="1:10" customFormat="1" ht="12.75" x14ac:dyDescent="0.2">
      <c r="A43" s="37" t="s">
        <v>8</v>
      </c>
      <c r="B43" s="38" t="s">
        <v>145</v>
      </c>
      <c r="C43" s="41" t="s">
        <v>146</v>
      </c>
      <c r="D43" s="39" t="s">
        <v>22</v>
      </c>
      <c r="E43" s="78">
        <v>1</v>
      </c>
      <c r="F43" s="45"/>
      <c r="G43" s="44">
        <f t="shared" si="1"/>
        <v>0.16666666666666669</v>
      </c>
      <c r="H43" s="45"/>
      <c r="J43">
        <f t="shared" si="0"/>
        <v>0.16666666666666669</v>
      </c>
    </row>
    <row r="44" spans="1:10" customFormat="1" ht="25.5" x14ac:dyDescent="0.2">
      <c r="A44" s="37" t="s">
        <v>147</v>
      </c>
      <c r="B44" s="38" t="s">
        <v>148</v>
      </c>
      <c r="C44" s="37" t="s">
        <v>149</v>
      </c>
      <c r="D44" s="39" t="s">
        <v>22</v>
      </c>
      <c r="E44" s="78">
        <v>1</v>
      </c>
      <c r="F44" s="45"/>
      <c r="G44" s="44">
        <f t="shared" si="1"/>
        <v>0.16666666666666669</v>
      </c>
      <c r="H44" s="45"/>
      <c r="J44">
        <f t="shared" si="0"/>
        <v>0.16666666666666669</v>
      </c>
    </row>
    <row r="45" spans="1:10" customFormat="1" ht="25.5" x14ac:dyDescent="0.2">
      <c r="A45" s="37" t="s">
        <v>150</v>
      </c>
      <c r="B45" s="38" t="s">
        <v>151</v>
      </c>
      <c r="C45" s="37" t="s">
        <v>152</v>
      </c>
      <c r="D45" s="39" t="s">
        <v>30</v>
      </c>
      <c r="E45" s="78">
        <v>48</v>
      </c>
      <c r="F45" s="45"/>
      <c r="G45" s="44">
        <f t="shared" si="1"/>
        <v>8</v>
      </c>
      <c r="H45" s="45"/>
      <c r="J45">
        <f t="shared" si="0"/>
        <v>8</v>
      </c>
    </row>
    <row r="46" spans="1:10" customFormat="1" ht="12.75" x14ac:dyDescent="0.2">
      <c r="A46" s="48" t="s">
        <v>153</v>
      </c>
      <c r="B46" s="49"/>
      <c r="C46" s="48" t="s">
        <v>154</v>
      </c>
      <c r="D46" s="50"/>
      <c r="E46" s="79" t="s">
        <v>445</v>
      </c>
      <c r="F46" s="66"/>
      <c r="G46" s="66"/>
      <c r="H46" s="66"/>
      <c r="J46" t="e">
        <f t="shared" si="0"/>
        <v>#VALUE!</v>
      </c>
    </row>
    <row r="47" spans="1:10" customFormat="1" ht="12.75" x14ac:dyDescent="0.2">
      <c r="A47" s="37" t="s">
        <v>155</v>
      </c>
      <c r="B47" s="38" t="s">
        <v>156</v>
      </c>
      <c r="C47" s="37" t="s">
        <v>157</v>
      </c>
      <c r="D47" s="39" t="s">
        <v>29</v>
      </c>
      <c r="E47" s="78">
        <v>200</v>
      </c>
      <c r="F47" s="45"/>
      <c r="G47" s="44">
        <f t="shared" si="1"/>
        <v>33.333333333333336</v>
      </c>
      <c r="H47" s="45"/>
      <c r="J47">
        <f t="shared" si="0"/>
        <v>33.333333333333336</v>
      </c>
    </row>
    <row r="48" spans="1:10" customFormat="1" ht="25.5" x14ac:dyDescent="0.2">
      <c r="A48" s="37" t="s">
        <v>158</v>
      </c>
      <c r="B48" s="38" t="s">
        <v>159</v>
      </c>
      <c r="C48" s="37" t="s">
        <v>160</v>
      </c>
      <c r="D48" s="39" t="s">
        <v>29</v>
      </c>
      <c r="E48" s="78">
        <v>200</v>
      </c>
      <c r="F48" s="45"/>
      <c r="G48" s="44">
        <f t="shared" si="1"/>
        <v>33.333333333333336</v>
      </c>
      <c r="H48" s="45"/>
      <c r="J48">
        <f t="shared" si="0"/>
        <v>33.333333333333336</v>
      </c>
    </row>
    <row r="49" spans="1:8" customFormat="1" ht="12.75" x14ac:dyDescent="0.2">
      <c r="A49" s="55" t="s">
        <v>92</v>
      </c>
      <c r="B49" s="56"/>
      <c r="C49" s="55" t="s">
        <v>13</v>
      </c>
      <c r="D49" s="57"/>
      <c r="E49" s="80" t="s">
        <v>445</v>
      </c>
      <c r="F49" s="62"/>
      <c r="G49" s="62"/>
      <c r="H49" s="62"/>
    </row>
    <row r="50" spans="1:8" customFormat="1" ht="12.75" x14ac:dyDescent="0.2">
      <c r="A50" s="48" t="s">
        <v>161</v>
      </c>
      <c r="B50" s="49"/>
      <c r="C50" s="48" t="s">
        <v>13</v>
      </c>
      <c r="D50" s="50"/>
      <c r="E50" s="79" t="s">
        <v>445</v>
      </c>
      <c r="F50" s="66"/>
      <c r="G50" s="66"/>
      <c r="H50" s="66"/>
    </row>
    <row r="51" spans="1:8" customFormat="1" ht="12.75" x14ac:dyDescent="0.2">
      <c r="A51" s="70" t="s">
        <v>162</v>
      </c>
      <c r="B51" s="71"/>
      <c r="C51" s="70" t="s">
        <v>163</v>
      </c>
      <c r="D51" s="72"/>
      <c r="E51" s="81" t="s">
        <v>445</v>
      </c>
      <c r="F51" s="73"/>
      <c r="G51" s="73"/>
      <c r="H51" s="73"/>
    </row>
    <row r="52" spans="1:8" customFormat="1" ht="25.5" x14ac:dyDescent="0.2">
      <c r="A52" s="37" t="s">
        <v>164</v>
      </c>
      <c r="B52" s="35">
        <v>5501710</v>
      </c>
      <c r="C52" s="37" t="s">
        <v>165</v>
      </c>
      <c r="D52" s="39" t="s">
        <v>14</v>
      </c>
      <c r="E52" s="78">
        <v>12369.67</v>
      </c>
      <c r="F52" s="45"/>
      <c r="G52" s="45"/>
      <c r="H52" s="104"/>
    </row>
    <row r="53" spans="1:8" customFormat="1" ht="38.25" x14ac:dyDescent="0.2">
      <c r="A53" s="37" t="s">
        <v>166</v>
      </c>
      <c r="B53" s="35">
        <v>5501875</v>
      </c>
      <c r="C53" s="37" t="s">
        <v>167</v>
      </c>
      <c r="D53" s="39" t="s">
        <v>14</v>
      </c>
      <c r="E53" s="78">
        <v>15514.4</v>
      </c>
      <c r="F53" s="100" t="s">
        <v>499</v>
      </c>
      <c r="G53" s="45">
        <v>7881.44</v>
      </c>
      <c r="H53" s="102" t="s">
        <v>496</v>
      </c>
    </row>
    <row r="54" spans="1:8" customFormat="1" ht="25.5" x14ac:dyDescent="0.2">
      <c r="A54" s="37" t="s">
        <v>168</v>
      </c>
      <c r="B54" s="35">
        <v>5501876</v>
      </c>
      <c r="C54" s="37" t="s">
        <v>169</v>
      </c>
      <c r="D54" s="39" t="s">
        <v>14</v>
      </c>
      <c r="E54" s="78">
        <v>3823.23</v>
      </c>
      <c r="F54" s="100"/>
      <c r="G54" s="45">
        <v>818.38</v>
      </c>
      <c r="H54" s="102"/>
    </row>
    <row r="55" spans="1:8" customFormat="1" ht="38.25" x14ac:dyDescent="0.2">
      <c r="A55" s="37" t="s">
        <v>170</v>
      </c>
      <c r="B55" s="35">
        <v>5501878</v>
      </c>
      <c r="C55" s="37" t="s">
        <v>171</v>
      </c>
      <c r="D55" s="39" t="s">
        <v>14</v>
      </c>
      <c r="E55" s="78">
        <v>607.91</v>
      </c>
      <c r="F55" s="45"/>
      <c r="G55" s="45">
        <v>607.91</v>
      </c>
      <c r="H55" s="104"/>
    </row>
    <row r="56" spans="1:8" customFormat="1" ht="25.5" x14ac:dyDescent="0.2">
      <c r="A56" s="37" t="s">
        <v>172</v>
      </c>
      <c r="B56" s="35">
        <v>5501880</v>
      </c>
      <c r="C56" s="37" t="s">
        <v>173</v>
      </c>
      <c r="D56" s="39" t="s">
        <v>14</v>
      </c>
      <c r="E56" s="78">
        <v>13645</v>
      </c>
      <c r="F56" s="100"/>
      <c r="G56" s="45">
        <v>4053.5</v>
      </c>
      <c r="H56" s="102"/>
    </row>
    <row r="57" spans="1:8" customFormat="1" ht="38.25" x14ac:dyDescent="0.2">
      <c r="A57" s="37" t="s">
        <v>174</v>
      </c>
      <c r="B57" s="38">
        <v>5501881</v>
      </c>
      <c r="C57" s="37" t="s">
        <v>175</v>
      </c>
      <c r="D57" s="39" t="s">
        <v>14</v>
      </c>
      <c r="E57" s="78">
        <v>2746</v>
      </c>
      <c r="F57" s="100" t="s">
        <v>498</v>
      </c>
      <c r="G57" s="45">
        <v>603.53</v>
      </c>
      <c r="H57" s="102" t="s">
        <v>496</v>
      </c>
    </row>
    <row r="58" spans="1:8" customFormat="1" ht="38.25" x14ac:dyDescent="0.2">
      <c r="A58" s="41" t="s">
        <v>176</v>
      </c>
      <c r="B58" s="38">
        <v>5501885</v>
      </c>
      <c r="C58" s="41" t="s">
        <v>177</v>
      </c>
      <c r="D58" s="39" t="s">
        <v>14</v>
      </c>
      <c r="E58" s="78">
        <v>16454</v>
      </c>
      <c r="F58" s="100" t="s">
        <v>495</v>
      </c>
      <c r="G58" s="45">
        <v>4679.38</v>
      </c>
      <c r="H58" s="102" t="s">
        <v>496</v>
      </c>
    </row>
    <row r="59" spans="1:8" customFormat="1" ht="38.25" x14ac:dyDescent="0.2">
      <c r="A59" s="41" t="s">
        <v>178</v>
      </c>
      <c r="B59" s="38">
        <v>5915320</v>
      </c>
      <c r="C59" s="41" t="s">
        <v>179</v>
      </c>
      <c r="D59" s="39" t="s">
        <v>120</v>
      </c>
      <c r="E59" s="78">
        <v>6388.5</v>
      </c>
      <c r="F59" s="45"/>
      <c r="G59" s="45"/>
      <c r="H59" s="104"/>
    </row>
    <row r="60" spans="1:8" customFormat="1" ht="12.75" x14ac:dyDescent="0.2">
      <c r="A60" s="37" t="s">
        <v>180</v>
      </c>
      <c r="B60" s="225" t="s">
        <v>181</v>
      </c>
      <c r="C60" s="225"/>
      <c r="D60" s="39" t="s">
        <v>14</v>
      </c>
      <c r="E60" s="78">
        <v>57918</v>
      </c>
      <c r="F60" s="100" t="s">
        <v>497</v>
      </c>
      <c r="G60" s="45">
        <v>10391.84</v>
      </c>
      <c r="H60" s="45"/>
    </row>
    <row r="61" spans="1:8" customFormat="1" ht="12.75" x14ac:dyDescent="0.2">
      <c r="A61" s="55" t="s">
        <v>41</v>
      </c>
      <c r="B61" s="56"/>
      <c r="C61" s="55" t="s">
        <v>182</v>
      </c>
      <c r="D61" s="57"/>
      <c r="E61" s="80" t="s">
        <v>445</v>
      </c>
      <c r="F61" s="62"/>
      <c r="G61" s="62"/>
      <c r="H61" s="62"/>
    </row>
    <row r="62" spans="1:8" customFormat="1" ht="12.75" x14ac:dyDescent="0.2">
      <c r="A62" s="48" t="s">
        <v>42</v>
      </c>
      <c r="B62" s="49"/>
      <c r="C62" s="48" t="s">
        <v>182</v>
      </c>
      <c r="D62" s="50"/>
      <c r="E62" s="79" t="s">
        <v>445</v>
      </c>
      <c r="F62" s="66"/>
      <c r="G62" s="66"/>
      <c r="H62" s="66"/>
    </row>
    <row r="63" spans="1:8" customFormat="1" ht="12.75" x14ac:dyDescent="0.2">
      <c r="A63" s="70" t="s">
        <v>43</v>
      </c>
      <c r="B63" s="71"/>
      <c r="C63" s="70" t="s">
        <v>183</v>
      </c>
      <c r="D63" s="72"/>
      <c r="E63" s="81" t="s">
        <v>445</v>
      </c>
      <c r="F63" s="73"/>
      <c r="G63" s="73"/>
      <c r="H63" s="73"/>
    </row>
    <row r="64" spans="1:8" customFormat="1" ht="25.5" x14ac:dyDescent="0.2">
      <c r="A64" s="37" t="s">
        <v>184</v>
      </c>
      <c r="B64" s="38" t="s">
        <v>185</v>
      </c>
      <c r="C64" s="37" t="s">
        <v>186</v>
      </c>
      <c r="D64" s="39" t="s">
        <v>29</v>
      </c>
      <c r="E64" s="78">
        <v>1040</v>
      </c>
      <c r="F64" s="45"/>
      <c r="G64" s="45"/>
      <c r="H64" s="45"/>
    </row>
    <row r="65" spans="1:8" customFormat="1" ht="12.75" x14ac:dyDescent="0.2">
      <c r="A65" s="37" t="s">
        <v>187</v>
      </c>
      <c r="B65" s="38" t="s">
        <v>188</v>
      </c>
      <c r="C65" s="37" t="s">
        <v>189</v>
      </c>
      <c r="D65" s="39" t="s">
        <v>190</v>
      </c>
      <c r="E65" s="78">
        <v>2329</v>
      </c>
      <c r="F65" s="45"/>
      <c r="G65" s="45"/>
      <c r="H65" s="45"/>
    </row>
    <row r="66" spans="1:8" customFormat="1" ht="25.5" x14ac:dyDescent="0.2">
      <c r="A66" s="37" t="s">
        <v>191</v>
      </c>
      <c r="B66" s="38" t="s">
        <v>192</v>
      </c>
      <c r="C66" s="37" t="s">
        <v>193</v>
      </c>
      <c r="D66" s="39" t="s">
        <v>14</v>
      </c>
      <c r="E66" s="78">
        <v>1240</v>
      </c>
      <c r="F66" s="45"/>
      <c r="G66" s="45">
        <f>118*1.5*1</f>
        <v>177</v>
      </c>
      <c r="H66" s="45"/>
    </row>
    <row r="67" spans="1:8" customFormat="1" ht="25.5" x14ac:dyDescent="0.2">
      <c r="A67" s="37" t="s">
        <v>194</v>
      </c>
      <c r="B67" s="38" t="s">
        <v>195</v>
      </c>
      <c r="C67" s="37" t="s">
        <v>196</v>
      </c>
      <c r="D67" s="39" t="s">
        <v>14</v>
      </c>
      <c r="E67" s="78">
        <v>153</v>
      </c>
      <c r="F67" s="45"/>
      <c r="G67" s="45">
        <f>118*0.5*1</f>
        <v>59</v>
      </c>
      <c r="H67" s="45"/>
    </row>
    <row r="68" spans="1:8" customFormat="1" ht="12.75" x14ac:dyDescent="0.2">
      <c r="A68" s="37" t="s">
        <v>197</v>
      </c>
      <c r="B68" s="38" t="s">
        <v>198</v>
      </c>
      <c r="C68" s="37" t="s">
        <v>199</v>
      </c>
      <c r="D68" s="39" t="s">
        <v>14</v>
      </c>
      <c r="E68" s="78">
        <v>62</v>
      </c>
      <c r="F68" s="45"/>
      <c r="G68" s="45"/>
      <c r="H68" s="45"/>
    </row>
    <row r="69" spans="1:8" customFormat="1" ht="25.5" x14ac:dyDescent="0.2">
      <c r="A69" s="37" t="s">
        <v>200</v>
      </c>
      <c r="B69" s="38" t="s">
        <v>201</v>
      </c>
      <c r="C69" s="37" t="s">
        <v>202</v>
      </c>
      <c r="D69" s="39" t="s">
        <v>14</v>
      </c>
      <c r="E69" s="78">
        <v>857</v>
      </c>
      <c r="F69" s="45"/>
      <c r="G69" s="45">
        <f>G66+G67</f>
        <v>236</v>
      </c>
      <c r="H69" s="45"/>
    </row>
    <row r="70" spans="1:8" customFormat="1" ht="12.75" x14ac:dyDescent="0.2">
      <c r="A70" s="37" t="s">
        <v>203</v>
      </c>
      <c r="B70" s="38" t="s">
        <v>204</v>
      </c>
      <c r="C70" s="37" t="s">
        <v>12</v>
      </c>
      <c r="D70" s="39" t="s">
        <v>14</v>
      </c>
      <c r="E70" s="78">
        <v>616</v>
      </c>
      <c r="F70" s="45"/>
      <c r="G70" s="45"/>
      <c r="H70" s="45"/>
    </row>
    <row r="71" spans="1:8" customFormat="1" ht="25.5" x14ac:dyDescent="0.2">
      <c r="A71" s="37" t="s">
        <v>205</v>
      </c>
      <c r="B71" s="35"/>
      <c r="C71" s="37" t="s">
        <v>206</v>
      </c>
      <c r="D71" s="39" t="s">
        <v>120</v>
      </c>
      <c r="E71" s="78">
        <v>16847</v>
      </c>
      <c r="F71" s="45"/>
      <c r="G71" s="45"/>
      <c r="H71" s="45"/>
    </row>
    <row r="72" spans="1:8" customFormat="1" ht="12.75" x14ac:dyDescent="0.2">
      <c r="A72" s="70" t="s">
        <v>44</v>
      </c>
      <c r="B72" s="71"/>
      <c r="C72" s="70" t="s">
        <v>207</v>
      </c>
      <c r="D72" s="72"/>
      <c r="E72" s="81" t="s">
        <v>445</v>
      </c>
      <c r="F72" s="73"/>
      <c r="G72" s="73"/>
      <c r="H72" s="73"/>
    </row>
    <row r="73" spans="1:8" customFormat="1" ht="25.5" x14ac:dyDescent="0.2">
      <c r="A73" s="37" t="s">
        <v>208</v>
      </c>
      <c r="B73" s="35">
        <v>2003319</v>
      </c>
      <c r="C73" s="37" t="s">
        <v>209</v>
      </c>
      <c r="D73" s="39" t="s">
        <v>37</v>
      </c>
      <c r="E73" s="78">
        <v>1861.6</v>
      </c>
      <c r="F73" s="45"/>
      <c r="G73" s="45"/>
      <c r="H73" s="45"/>
    </row>
    <row r="74" spans="1:8" customFormat="1" ht="25.5" x14ac:dyDescent="0.2">
      <c r="A74" s="37" t="s">
        <v>210</v>
      </c>
      <c r="B74" s="35">
        <v>2003323</v>
      </c>
      <c r="C74" s="37" t="s">
        <v>211</v>
      </c>
      <c r="D74" s="39" t="s">
        <v>37</v>
      </c>
      <c r="E74" s="78">
        <v>402</v>
      </c>
      <c r="F74" s="45"/>
      <c r="G74" s="45"/>
      <c r="H74" s="45"/>
    </row>
    <row r="75" spans="1:8" customFormat="1" ht="25.5" x14ac:dyDescent="0.2">
      <c r="A75" s="37" t="s">
        <v>212</v>
      </c>
      <c r="B75" s="35">
        <v>2003343</v>
      </c>
      <c r="C75" s="37" t="s">
        <v>213</v>
      </c>
      <c r="D75" s="39" t="s">
        <v>37</v>
      </c>
      <c r="E75" s="78">
        <v>112.5</v>
      </c>
      <c r="F75" s="45"/>
      <c r="G75" s="45"/>
      <c r="H75" s="45"/>
    </row>
    <row r="76" spans="1:8" customFormat="1" ht="25.5" x14ac:dyDescent="0.2">
      <c r="A76" s="37" t="s">
        <v>214</v>
      </c>
      <c r="B76" s="35">
        <v>2003353</v>
      </c>
      <c r="C76" s="37" t="s">
        <v>215</v>
      </c>
      <c r="D76" s="39" t="s">
        <v>37</v>
      </c>
      <c r="E76" s="78">
        <v>210</v>
      </c>
      <c r="F76" s="45"/>
      <c r="G76" s="45"/>
      <c r="H76" s="45"/>
    </row>
    <row r="77" spans="1:8" customFormat="1" ht="25.5" x14ac:dyDescent="0.2">
      <c r="A77" s="37" t="s">
        <v>216</v>
      </c>
      <c r="B77" s="35">
        <v>2003355</v>
      </c>
      <c r="C77" s="37" t="s">
        <v>217</v>
      </c>
      <c r="D77" s="39" t="s">
        <v>37</v>
      </c>
      <c r="E77" s="78">
        <v>255</v>
      </c>
      <c r="F77" s="45"/>
      <c r="G77" s="45"/>
      <c r="H77" s="45"/>
    </row>
    <row r="78" spans="1:8" customFormat="1" ht="25.5" x14ac:dyDescent="0.2">
      <c r="A78" s="37" t="s">
        <v>218</v>
      </c>
      <c r="B78" s="35">
        <v>2003307</v>
      </c>
      <c r="C78" s="37" t="s">
        <v>219</v>
      </c>
      <c r="D78" s="39" t="s">
        <v>37</v>
      </c>
      <c r="E78" s="78">
        <v>149</v>
      </c>
      <c r="F78" s="45"/>
      <c r="G78" s="45"/>
      <c r="H78" s="45"/>
    </row>
    <row r="79" spans="1:8" customFormat="1" ht="25.5" x14ac:dyDescent="0.2">
      <c r="A79" s="37" t="s">
        <v>220</v>
      </c>
      <c r="B79" s="35">
        <v>2003373</v>
      </c>
      <c r="C79" s="37" t="s">
        <v>221</v>
      </c>
      <c r="D79" s="39" t="s">
        <v>37</v>
      </c>
      <c r="E79" s="78">
        <v>3450.2</v>
      </c>
      <c r="F79" s="45"/>
      <c r="G79" s="45"/>
      <c r="H79" s="45"/>
    </row>
    <row r="80" spans="1:8" customFormat="1" ht="25.5" x14ac:dyDescent="0.2">
      <c r="A80" s="37" t="s">
        <v>222</v>
      </c>
      <c r="B80" s="35">
        <v>2003377</v>
      </c>
      <c r="C80" s="37" t="s">
        <v>223</v>
      </c>
      <c r="D80" s="39" t="s">
        <v>37</v>
      </c>
      <c r="E80" s="78">
        <v>1432</v>
      </c>
      <c r="F80" s="45"/>
      <c r="G80" s="45"/>
      <c r="H80" s="45"/>
    </row>
    <row r="81" spans="1:8" customFormat="1" ht="25.5" x14ac:dyDescent="0.2">
      <c r="A81" s="37" t="s">
        <v>224</v>
      </c>
      <c r="B81" s="35">
        <v>2003385</v>
      </c>
      <c r="C81" s="37" t="s">
        <v>225</v>
      </c>
      <c r="D81" s="39" t="s">
        <v>226</v>
      </c>
      <c r="E81" s="78">
        <v>53</v>
      </c>
      <c r="F81" s="45"/>
      <c r="G81" s="45"/>
      <c r="H81" s="45"/>
    </row>
    <row r="82" spans="1:8" customFormat="1" ht="25.5" x14ac:dyDescent="0.2">
      <c r="A82" s="37" t="s">
        <v>227</v>
      </c>
      <c r="B82" s="35">
        <v>2003387</v>
      </c>
      <c r="C82" s="37" t="s">
        <v>228</v>
      </c>
      <c r="D82" s="39" t="s">
        <v>226</v>
      </c>
      <c r="E82" s="78">
        <v>13</v>
      </c>
      <c r="F82" s="45"/>
      <c r="G82" s="45"/>
      <c r="H82" s="45"/>
    </row>
    <row r="83" spans="1:8" customFormat="1" ht="25.5" x14ac:dyDescent="0.2">
      <c r="A83" s="37" t="s">
        <v>229</v>
      </c>
      <c r="B83" s="35">
        <v>2003361</v>
      </c>
      <c r="C83" s="37" t="s">
        <v>230</v>
      </c>
      <c r="D83" s="39" t="s">
        <v>37</v>
      </c>
      <c r="E83" s="78">
        <v>163</v>
      </c>
      <c r="F83" s="45"/>
      <c r="G83" s="45"/>
      <c r="H83" s="45"/>
    </row>
    <row r="84" spans="1:8" customFormat="1" ht="25.5" x14ac:dyDescent="0.2">
      <c r="A84" s="37" t="s">
        <v>231</v>
      </c>
      <c r="B84" s="38">
        <v>2003407</v>
      </c>
      <c r="C84" s="41" t="s">
        <v>232</v>
      </c>
      <c r="D84" s="39" t="s">
        <v>37</v>
      </c>
      <c r="E84" s="78">
        <v>212</v>
      </c>
      <c r="F84" s="45"/>
      <c r="G84" s="45"/>
      <c r="H84" s="45"/>
    </row>
    <row r="85" spans="1:8" customFormat="1" ht="25.5" x14ac:dyDescent="0.2">
      <c r="A85" s="41" t="s">
        <v>233</v>
      </c>
      <c r="B85" s="35">
        <v>2003393</v>
      </c>
      <c r="C85" s="42" t="s">
        <v>234</v>
      </c>
      <c r="D85" s="39" t="s">
        <v>37</v>
      </c>
      <c r="E85" s="78">
        <v>61.5</v>
      </c>
      <c r="F85" s="45"/>
      <c r="G85" s="45"/>
      <c r="H85" s="45"/>
    </row>
    <row r="86" spans="1:8" customFormat="1" ht="25.5" x14ac:dyDescent="0.2">
      <c r="A86" s="41" t="s">
        <v>235</v>
      </c>
      <c r="B86" s="35">
        <v>2003449</v>
      </c>
      <c r="C86" s="42" t="s">
        <v>236</v>
      </c>
      <c r="D86" s="39" t="s">
        <v>226</v>
      </c>
      <c r="E86" s="78">
        <v>30</v>
      </c>
      <c r="F86" s="45"/>
      <c r="G86" s="45"/>
      <c r="H86" s="45"/>
    </row>
    <row r="87" spans="1:8" customFormat="1" ht="25.5" x14ac:dyDescent="0.2">
      <c r="A87" s="41" t="s">
        <v>237</v>
      </c>
      <c r="B87" s="35">
        <v>2003451</v>
      </c>
      <c r="C87" s="42" t="s">
        <v>238</v>
      </c>
      <c r="D87" s="39" t="s">
        <v>226</v>
      </c>
      <c r="E87" s="78">
        <v>26</v>
      </c>
      <c r="F87" s="45"/>
      <c r="G87" s="45"/>
      <c r="H87" s="45"/>
    </row>
    <row r="88" spans="1:8" customFormat="1" ht="25.5" x14ac:dyDescent="0.2">
      <c r="A88" s="41" t="s">
        <v>239</v>
      </c>
      <c r="B88" s="35">
        <v>2003453</v>
      </c>
      <c r="C88" s="42" t="s">
        <v>240</v>
      </c>
      <c r="D88" s="39" t="s">
        <v>226</v>
      </c>
      <c r="E88" s="78">
        <v>2</v>
      </c>
      <c r="F88" s="45"/>
      <c r="G88" s="45"/>
      <c r="H88" s="45"/>
    </row>
    <row r="89" spans="1:8" customFormat="1" ht="25.5" x14ac:dyDescent="0.2">
      <c r="A89" s="41" t="s">
        <v>241</v>
      </c>
      <c r="B89" s="35">
        <v>2003455</v>
      </c>
      <c r="C89" s="42" t="s">
        <v>242</v>
      </c>
      <c r="D89" s="39" t="s">
        <v>226</v>
      </c>
      <c r="E89" s="78">
        <v>6</v>
      </c>
      <c r="F89" s="45"/>
      <c r="G89" s="45"/>
      <c r="H89" s="45"/>
    </row>
    <row r="90" spans="1:8" customFormat="1" ht="25.5" x14ac:dyDescent="0.2">
      <c r="A90" s="41" t="s">
        <v>243</v>
      </c>
      <c r="B90" s="35">
        <v>2003459</v>
      </c>
      <c r="C90" s="42" t="s">
        <v>244</v>
      </c>
      <c r="D90" s="39" t="s">
        <v>226</v>
      </c>
      <c r="E90" s="78">
        <v>13</v>
      </c>
      <c r="F90" s="45"/>
      <c r="G90" s="45"/>
      <c r="H90" s="45"/>
    </row>
    <row r="91" spans="1:8" customFormat="1" ht="25.5" x14ac:dyDescent="0.2">
      <c r="A91" s="41" t="s">
        <v>245</v>
      </c>
      <c r="B91" s="35">
        <v>2003465</v>
      </c>
      <c r="C91" s="42" t="s">
        <v>246</v>
      </c>
      <c r="D91" s="39" t="s">
        <v>226</v>
      </c>
      <c r="E91" s="78">
        <v>1</v>
      </c>
      <c r="F91" s="45"/>
      <c r="G91" s="45"/>
      <c r="H91" s="45"/>
    </row>
    <row r="92" spans="1:8" customFormat="1" ht="25.5" x14ac:dyDescent="0.2">
      <c r="A92" s="41" t="s">
        <v>247</v>
      </c>
      <c r="B92" s="35">
        <v>2003445</v>
      </c>
      <c r="C92" s="42" t="s">
        <v>248</v>
      </c>
      <c r="D92" s="39" t="s">
        <v>226</v>
      </c>
      <c r="E92" s="78">
        <v>12</v>
      </c>
      <c r="F92" s="45"/>
      <c r="G92" s="45"/>
      <c r="H92" s="45"/>
    </row>
    <row r="93" spans="1:8" customFormat="1" ht="25.5" x14ac:dyDescent="0.2">
      <c r="A93" s="41" t="s">
        <v>249</v>
      </c>
      <c r="B93" s="35">
        <v>2003443</v>
      </c>
      <c r="C93" s="42" t="s">
        <v>250</v>
      </c>
      <c r="D93" s="39" t="s">
        <v>226</v>
      </c>
      <c r="E93" s="78">
        <v>1</v>
      </c>
      <c r="F93" s="45"/>
      <c r="G93" s="45"/>
      <c r="H93" s="45"/>
    </row>
    <row r="94" spans="1:8" customFormat="1" ht="25.5" x14ac:dyDescent="0.2">
      <c r="A94" s="41" t="s">
        <v>251</v>
      </c>
      <c r="B94" s="35">
        <v>2003730</v>
      </c>
      <c r="C94" s="42" t="s">
        <v>252</v>
      </c>
      <c r="D94" s="39" t="s">
        <v>226</v>
      </c>
      <c r="E94" s="78">
        <v>3</v>
      </c>
      <c r="F94" s="45"/>
      <c r="G94" s="45"/>
      <c r="H94" s="45"/>
    </row>
    <row r="95" spans="1:8" customFormat="1" ht="25.5" x14ac:dyDescent="0.2">
      <c r="A95" s="41" t="s">
        <v>253</v>
      </c>
      <c r="B95" s="35">
        <v>2003734</v>
      </c>
      <c r="C95" s="42" t="s">
        <v>254</v>
      </c>
      <c r="D95" s="39" t="s">
        <v>226</v>
      </c>
      <c r="E95" s="78">
        <v>10</v>
      </c>
      <c r="F95" s="45"/>
      <c r="G95" s="45"/>
      <c r="H95" s="45"/>
    </row>
    <row r="96" spans="1:8" customFormat="1" ht="25.5" x14ac:dyDescent="0.2">
      <c r="A96" s="41" t="s">
        <v>255</v>
      </c>
      <c r="B96" s="35">
        <v>2003738</v>
      </c>
      <c r="C96" s="42" t="s">
        <v>256</v>
      </c>
      <c r="D96" s="39" t="s">
        <v>226</v>
      </c>
      <c r="E96" s="78">
        <v>1</v>
      </c>
      <c r="F96" s="45"/>
      <c r="G96" s="45"/>
      <c r="H96" s="45"/>
    </row>
    <row r="97" spans="1:8" customFormat="1" ht="25.5" x14ac:dyDescent="0.2">
      <c r="A97" s="41" t="s">
        <v>257</v>
      </c>
      <c r="B97" s="35">
        <v>2003746</v>
      </c>
      <c r="C97" s="42" t="s">
        <v>258</v>
      </c>
      <c r="D97" s="39" t="s">
        <v>226</v>
      </c>
      <c r="E97" s="78">
        <v>1</v>
      </c>
      <c r="F97" s="45"/>
      <c r="G97" s="45"/>
      <c r="H97" s="45"/>
    </row>
    <row r="98" spans="1:8" customFormat="1" ht="25.5" x14ac:dyDescent="0.2">
      <c r="A98" s="41" t="s">
        <v>259</v>
      </c>
      <c r="B98" s="35">
        <v>804081</v>
      </c>
      <c r="C98" s="42" t="s">
        <v>260</v>
      </c>
      <c r="D98" s="39" t="s">
        <v>226</v>
      </c>
      <c r="E98" s="78">
        <v>1</v>
      </c>
      <c r="F98" s="45"/>
      <c r="G98" s="45"/>
      <c r="H98" s="45"/>
    </row>
    <row r="99" spans="1:8" customFormat="1" ht="25.5" x14ac:dyDescent="0.2">
      <c r="A99" s="41" t="s">
        <v>261</v>
      </c>
      <c r="B99" s="35">
        <v>804101</v>
      </c>
      <c r="C99" s="42" t="s">
        <v>262</v>
      </c>
      <c r="D99" s="39" t="s">
        <v>226</v>
      </c>
      <c r="E99" s="78">
        <v>7</v>
      </c>
      <c r="F99" s="45"/>
      <c r="G99" s="45"/>
      <c r="H99" s="45"/>
    </row>
    <row r="100" spans="1:8" customFormat="1" ht="25.5" x14ac:dyDescent="0.2">
      <c r="A100" s="41" t="s">
        <v>263</v>
      </c>
      <c r="B100" s="38">
        <v>804141</v>
      </c>
      <c r="C100" s="41" t="s">
        <v>264</v>
      </c>
      <c r="D100" s="39" t="s">
        <v>143</v>
      </c>
      <c r="E100" s="78">
        <v>16</v>
      </c>
      <c r="F100" s="45"/>
      <c r="G100" s="45"/>
      <c r="H100" s="45"/>
    </row>
    <row r="101" spans="1:8" customFormat="1" ht="25.5" x14ac:dyDescent="0.2">
      <c r="A101" s="37" t="s">
        <v>265</v>
      </c>
      <c r="B101" s="38">
        <v>804253</v>
      </c>
      <c r="C101" s="41" t="s">
        <v>266</v>
      </c>
      <c r="D101" s="39" t="s">
        <v>226</v>
      </c>
      <c r="E101" s="78">
        <v>2</v>
      </c>
      <c r="F101" s="45"/>
      <c r="G101" s="45"/>
      <c r="H101" s="45"/>
    </row>
    <row r="102" spans="1:8" customFormat="1" ht="25.5" x14ac:dyDescent="0.2">
      <c r="A102" s="37" t="s">
        <v>267</v>
      </c>
      <c r="B102" s="35">
        <v>705338</v>
      </c>
      <c r="C102" s="41" t="s">
        <v>268</v>
      </c>
      <c r="D102" s="39" t="s">
        <v>226</v>
      </c>
      <c r="E102" s="78">
        <v>2</v>
      </c>
      <c r="F102" s="103"/>
      <c r="G102" s="45"/>
      <c r="H102" s="45"/>
    </row>
    <row r="103" spans="1:8" customFormat="1" ht="25.5" x14ac:dyDescent="0.2">
      <c r="A103" s="37" t="s">
        <v>269</v>
      </c>
      <c r="B103" s="35">
        <v>705303</v>
      </c>
      <c r="C103" s="41" t="s">
        <v>270</v>
      </c>
      <c r="D103" s="39" t="s">
        <v>37</v>
      </c>
      <c r="E103" s="78">
        <v>26</v>
      </c>
      <c r="F103" s="103"/>
      <c r="G103" s="45"/>
      <c r="H103" s="45"/>
    </row>
    <row r="104" spans="1:8" customFormat="1" ht="12.75" x14ac:dyDescent="0.2">
      <c r="A104" s="37" t="s">
        <v>271</v>
      </c>
      <c r="B104" s="38" t="s">
        <v>272</v>
      </c>
      <c r="C104" s="41" t="s">
        <v>273</v>
      </c>
      <c r="D104" s="39" t="s">
        <v>14</v>
      </c>
      <c r="E104" s="78">
        <v>39</v>
      </c>
      <c r="F104" s="103"/>
      <c r="G104" s="45"/>
      <c r="H104" s="45"/>
    </row>
    <row r="105" spans="1:8" customFormat="1" ht="25.5" x14ac:dyDescent="0.2">
      <c r="A105" s="37" t="s">
        <v>274</v>
      </c>
      <c r="B105" s="35">
        <v>804015</v>
      </c>
      <c r="C105" s="41" t="s">
        <v>275</v>
      </c>
      <c r="D105" s="39" t="s">
        <v>37</v>
      </c>
      <c r="E105" s="78">
        <v>39</v>
      </c>
      <c r="F105" s="101" t="s">
        <v>503</v>
      </c>
      <c r="G105" s="45">
        <f>31</f>
        <v>31</v>
      </c>
      <c r="H105" s="45"/>
    </row>
    <row r="106" spans="1:8" customFormat="1" ht="51" x14ac:dyDescent="0.2">
      <c r="A106" s="37" t="s">
        <v>276</v>
      </c>
      <c r="B106" s="35">
        <v>804023</v>
      </c>
      <c r="C106" s="41" t="s">
        <v>277</v>
      </c>
      <c r="D106" s="39" t="s">
        <v>37</v>
      </c>
      <c r="E106" s="78">
        <v>141</v>
      </c>
      <c r="F106" s="101" t="s">
        <v>504</v>
      </c>
      <c r="G106" s="45">
        <f>20+20+23+24</f>
        <v>87</v>
      </c>
      <c r="H106" s="45"/>
    </row>
    <row r="107" spans="1:8" customFormat="1" ht="25.5" x14ac:dyDescent="0.2">
      <c r="A107" s="37" t="s">
        <v>278</v>
      </c>
      <c r="B107" s="35">
        <v>804031</v>
      </c>
      <c r="C107" s="41" t="s">
        <v>279</v>
      </c>
      <c r="D107" s="39" t="s">
        <v>37</v>
      </c>
      <c r="E107" s="78">
        <v>104</v>
      </c>
      <c r="F107" s="101" t="s">
        <v>501</v>
      </c>
      <c r="G107" s="45">
        <v>30</v>
      </c>
      <c r="H107" s="101"/>
    </row>
    <row r="108" spans="1:8" customFormat="1" ht="25.5" x14ac:dyDescent="0.2">
      <c r="A108" s="37" t="s">
        <v>280</v>
      </c>
      <c r="B108" s="38">
        <v>804047</v>
      </c>
      <c r="C108" s="41" t="s">
        <v>281</v>
      </c>
      <c r="D108" s="39" t="s">
        <v>37</v>
      </c>
      <c r="E108" s="78">
        <v>17</v>
      </c>
      <c r="F108" s="101"/>
      <c r="G108" s="45"/>
      <c r="H108" s="101"/>
    </row>
    <row r="109" spans="1:8" customFormat="1" ht="25.5" x14ac:dyDescent="0.2">
      <c r="A109" s="37" t="s">
        <v>282</v>
      </c>
      <c r="B109" s="35">
        <v>804199</v>
      </c>
      <c r="C109" s="37" t="s">
        <v>283</v>
      </c>
      <c r="D109" s="39" t="s">
        <v>37</v>
      </c>
      <c r="E109" s="78">
        <v>21</v>
      </c>
      <c r="F109" s="101" t="s">
        <v>502</v>
      </c>
      <c r="G109" s="45">
        <v>21</v>
      </c>
      <c r="H109" s="45"/>
    </row>
    <row r="110" spans="1:8" customFormat="1" ht="25.5" x14ac:dyDescent="0.2">
      <c r="A110" s="37" t="s">
        <v>284</v>
      </c>
      <c r="B110" s="38" t="s">
        <v>285</v>
      </c>
      <c r="C110" s="43" t="s">
        <v>286</v>
      </c>
      <c r="D110" s="39" t="s">
        <v>22</v>
      </c>
      <c r="E110" s="78">
        <v>9</v>
      </c>
      <c r="F110" s="103"/>
      <c r="G110" s="45"/>
      <c r="H110" s="45"/>
    </row>
    <row r="111" spans="1:8" customFormat="1" ht="25.5" x14ac:dyDescent="0.2">
      <c r="A111" s="37" t="s">
        <v>287</v>
      </c>
      <c r="B111" s="38" t="s">
        <v>288</v>
      </c>
      <c r="C111" s="43" t="s">
        <v>289</v>
      </c>
      <c r="D111" s="39" t="s">
        <v>22</v>
      </c>
      <c r="E111" s="78">
        <v>3</v>
      </c>
      <c r="F111" s="103"/>
      <c r="G111" s="45"/>
      <c r="H111" s="45"/>
    </row>
    <row r="112" spans="1:8" customFormat="1" ht="12.75" x14ac:dyDescent="0.2">
      <c r="A112" s="37" t="s">
        <v>290</v>
      </c>
      <c r="B112" s="38" t="s">
        <v>291</v>
      </c>
      <c r="C112" s="37" t="s">
        <v>292</v>
      </c>
      <c r="D112" s="39" t="s">
        <v>29</v>
      </c>
      <c r="E112" s="78">
        <v>15.2</v>
      </c>
      <c r="F112" s="103"/>
      <c r="G112" s="45"/>
      <c r="H112" s="45"/>
    </row>
    <row r="113" spans="1:8" customFormat="1" ht="12.75" x14ac:dyDescent="0.2">
      <c r="A113" s="70" t="s">
        <v>45</v>
      </c>
      <c r="B113" s="71"/>
      <c r="C113" s="70" t="s">
        <v>293</v>
      </c>
      <c r="D113" s="72"/>
      <c r="E113" s="81" t="s">
        <v>445</v>
      </c>
      <c r="F113" s="73"/>
      <c r="G113" s="73"/>
      <c r="H113" s="73"/>
    </row>
    <row r="114" spans="1:8" customFormat="1" ht="25.5" x14ac:dyDescent="0.2">
      <c r="A114" s="37" t="s">
        <v>294</v>
      </c>
      <c r="B114" s="38" t="s">
        <v>295</v>
      </c>
      <c r="C114" s="37" t="s">
        <v>296</v>
      </c>
      <c r="D114" s="39" t="s">
        <v>29</v>
      </c>
      <c r="E114" s="78">
        <v>1425</v>
      </c>
      <c r="F114" s="45"/>
      <c r="G114" s="45"/>
      <c r="H114" s="45"/>
    </row>
    <row r="115" spans="1:8" customFormat="1" ht="25.5" x14ac:dyDescent="0.2">
      <c r="A115" s="37" t="s">
        <v>297</v>
      </c>
      <c r="B115" s="38" t="s">
        <v>298</v>
      </c>
      <c r="C115" s="37" t="s">
        <v>299</v>
      </c>
      <c r="D115" s="39" t="s">
        <v>87</v>
      </c>
      <c r="E115" s="78">
        <v>9263</v>
      </c>
      <c r="F115" s="45"/>
      <c r="G115" s="45"/>
      <c r="H115" s="45"/>
    </row>
    <row r="116" spans="1:8" customFormat="1" ht="25.5" x14ac:dyDescent="0.2">
      <c r="A116" s="37" t="s">
        <v>300</v>
      </c>
      <c r="B116" s="38" t="s">
        <v>301</v>
      </c>
      <c r="C116" s="37" t="s">
        <v>302</v>
      </c>
      <c r="D116" s="39" t="s">
        <v>87</v>
      </c>
      <c r="E116" s="78">
        <v>4703</v>
      </c>
      <c r="F116" s="45"/>
      <c r="G116" s="45"/>
      <c r="H116" s="45"/>
    </row>
    <row r="117" spans="1:8" customFormat="1" ht="25.5" x14ac:dyDescent="0.2">
      <c r="A117" s="37" t="s">
        <v>303</v>
      </c>
      <c r="B117" s="38" t="s">
        <v>304</v>
      </c>
      <c r="C117" s="37" t="s">
        <v>305</v>
      </c>
      <c r="D117" s="39" t="s">
        <v>14</v>
      </c>
      <c r="E117" s="78">
        <v>152</v>
      </c>
      <c r="F117" s="45"/>
      <c r="G117" s="45"/>
      <c r="H117" s="45"/>
    </row>
    <row r="118" spans="1:8" customFormat="1" ht="25.5" x14ac:dyDescent="0.2">
      <c r="A118" s="37" t="s">
        <v>306</v>
      </c>
      <c r="B118" s="38" t="s">
        <v>307</v>
      </c>
      <c r="C118" s="37" t="s">
        <v>308</v>
      </c>
      <c r="D118" s="39" t="s">
        <v>29</v>
      </c>
      <c r="E118" s="78">
        <v>275</v>
      </c>
      <c r="F118" s="45"/>
      <c r="G118" s="45"/>
      <c r="H118" s="45"/>
    </row>
    <row r="119" spans="1:8" customFormat="1" ht="25.5" x14ac:dyDescent="0.2">
      <c r="A119" s="37" t="s">
        <v>309</v>
      </c>
      <c r="B119" s="38" t="s">
        <v>310</v>
      </c>
      <c r="C119" s="37" t="s">
        <v>311</v>
      </c>
      <c r="D119" s="39" t="s">
        <v>14</v>
      </c>
      <c r="E119" s="78">
        <v>23</v>
      </c>
      <c r="F119" s="45"/>
      <c r="G119" s="45"/>
      <c r="H119" s="45"/>
    </row>
    <row r="120" spans="1:8" customFormat="1" ht="12.75" x14ac:dyDescent="0.2">
      <c r="A120" s="70" t="s">
        <v>312</v>
      </c>
      <c r="B120" s="71"/>
      <c r="C120" s="70" t="s">
        <v>313</v>
      </c>
      <c r="D120" s="72"/>
      <c r="E120" s="81" t="s">
        <v>445</v>
      </c>
      <c r="F120" s="73"/>
      <c r="G120" s="73"/>
      <c r="H120" s="73"/>
    </row>
    <row r="121" spans="1:8" customFormat="1" ht="25.5" x14ac:dyDescent="0.2">
      <c r="A121" s="37" t="s">
        <v>314</v>
      </c>
      <c r="B121" s="38" t="s">
        <v>295</v>
      </c>
      <c r="C121" s="37" t="s">
        <v>296</v>
      </c>
      <c r="D121" s="39" t="s">
        <v>29</v>
      </c>
      <c r="E121" s="78">
        <v>188</v>
      </c>
      <c r="F121" s="45"/>
      <c r="G121" s="45"/>
      <c r="H121" s="45"/>
    </row>
    <row r="122" spans="1:8" customFormat="1" ht="25.5" x14ac:dyDescent="0.2">
      <c r="A122" s="37" t="s">
        <v>315</v>
      </c>
      <c r="B122" s="38" t="s">
        <v>192</v>
      </c>
      <c r="C122" s="37" t="s">
        <v>193</v>
      </c>
      <c r="D122" s="39" t="s">
        <v>14</v>
      </c>
      <c r="E122" s="78">
        <v>138</v>
      </c>
      <c r="F122" s="45"/>
      <c r="G122" s="45"/>
      <c r="H122" s="45"/>
    </row>
    <row r="123" spans="1:8" customFormat="1" ht="25.5" x14ac:dyDescent="0.2">
      <c r="A123" s="37" t="s">
        <v>316</v>
      </c>
      <c r="B123" s="38" t="s">
        <v>317</v>
      </c>
      <c r="C123" s="37" t="s">
        <v>318</v>
      </c>
      <c r="D123" s="39" t="s">
        <v>14</v>
      </c>
      <c r="E123" s="78">
        <v>4.2</v>
      </c>
      <c r="F123" s="45"/>
      <c r="G123" s="45"/>
      <c r="H123" s="45"/>
    </row>
    <row r="124" spans="1:8" customFormat="1" ht="12.75" x14ac:dyDescent="0.2">
      <c r="A124" s="70" t="s">
        <v>319</v>
      </c>
      <c r="B124" s="71"/>
      <c r="C124" s="70" t="s">
        <v>320</v>
      </c>
      <c r="D124" s="72"/>
      <c r="E124" s="81" t="s">
        <v>445</v>
      </c>
      <c r="F124" s="73"/>
      <c r="G124" s="73"/>
      <c r="H124" s="73"/>
    </row>
    <row r="125" spans="1:8" customFormat="1" ht="25.5" x14ac:dyDescent="0.2">
      <c r="A125" s="37" t="s">
        <v>321</v>
      </c>
      <c r="B125" s="38" t="s">
        <v>322</v>
      </c>
      <c r="C125" s="37" t="s">
        <v>323</v>
      </c>
      <c r="D125" s="39" t="s">
        <v>14</v>
      </c>
      <c r="E125" s="78">
        <v>5.25</v>
      </c>
      <c r="F125" s="45"/>
      <c r="G125" s="45"/>
      <c r="H125" s="45"/>
    </row>
    <row r="126" spans="1:8" customFormat="1" ht="12.75" x14ac:dyDescent="0.2">
      <c r="A126" s="55" t="s">
        <v>46</v>
      </c>
      <c r="B126" s="56"/>
      <c r="C126" s="55" t="s">
        <v>324</v>
      </c>
      <c r="D126" s="57"/>
      <c r="E126" s="80" t="s">
        <v>445</v>
      </c>
      <c r="F126" s="62"/>
      <c r="G126" s="62"/>
      <c r="H126" s="62"/>
    </row>
    <row r="127" spans="1:8" customFormat="1" ht="12.75" x14ac:dyDescent="0.2">
      <c r="A127" s="48" t="s">
        <v>47</v>
      </c>
      <c r="B127" s="49"/>
      <c r="C127" s="48" t="s">
        <v>325</v>
      </c>
      <c r="D127" s="50"/>
      <c r="E127" s="79" t="s">
        <v>445</v>
      </c>
      <c r="F127" s="66"/>
      <c r="G127" s="66"/>
      <c r="H127" s="66"/>
    </row>
    <row r="128" spans="1:8" customFormat="1" ht="12.75" x14ac:dyDescent="0.2">
      <c r="A128" s="37" t="s">
        <v>48</v>
      </c>
      <c r="B128" s="35"/>
      <c r="C128" s="37" t="s">
        <v>326</v>
      </c>
      <c r="D128" s="39" t="s">
        <v>29</v>
      </c>
      <c r="E128" s="78">
        <v>73799.7</v>
      </c>
      <c r="F128" s="45"/>
      <c r="G128" s="45"/>
      <c r="H128" s="45"/>
    </row>
    <row r="129" spans="1:8" customFormat="1" ht="12.75" x14ac:dyDescent="0.2">
      <c r="A129" s="48" t="s">
        <v>49</v>
      </c>
      <c r="B129" s="49"/>
      <c r="C129" s="48" t="s">
        <v>327</v>
      </c>
      <c r="D129" s="50"/>
      <c r="E129" s="79" t="s">
        <v>445</v>
      </c>
      <c r="F129" s="66"/>
      <c r="G129" s="66"/>
      <c r="H129" s="66"/>
    </row>
    <row r="130" spans="1:8" customFormat="1" ht="12.75" x14ac:dyDescent="0.2">
      <c r="A130" s="70" t="s">
        <v>50</v>
      </c>
      <c r="B130" s="71"/>
      <c r="C130" s="70" t="s">
        <v>328</v>
      </c>
      <c r="D130" s="72"/>
      <c r="E130" s="81" t="s">
        <v>445</v>
      </c>
      <c r="F130" s="73"/>
      <c r="G130" s="73"/>
      <c r="H130" s="73"/>
    </row>
    <row r="131" spans="1:8" customFormat="1" ht="25.5" x14ac:dyDescent="0.2">
      <c r="A131" s="37" t="s">
        <v>329</v>
      </c>
      <c r="B131" s="38" t="s">
        <v>117</v>
      </c>
      <c r="C131" s="37" t="s">
        <v>118</v>
      </c>
      <c r="D131" s="39" t="s">
        <v>14</v>
      </c>
      <c r="E131" s="78">
        <v>32506.82</v>
      </c>
      <c r="F131" s="99" t="s">
        <v>492</v>
      </c>
      <c r="G131" s="45">
        <v>5111.49</v>
      </c>
      <c r="H131" s="100" t="s">
        <v>489</v>
      </c>
    </row>
    <row r="132" spans="1:8" customFormat="1" ht="25.5" x14ac:dyDescent="0.2">
      <c r="A132" s="37" t="s">
        <v>330</v>
      </c>
      <c r="B132" s="35">
        <v>5914389</v>
      </c>
      <c r="C132" s="37" t="s">
        <v>331</v>
      </c>
      <c r="D132" s="39" t="s">
        <v>120</v>
      </c>
      <c r="E132" s="78">
        <v>153594.72</v>
      </c>
      <c r="F132" s="99" t="s">
        <v>493</v>
      </c>
      <c r="G132" s="45">
        <f>G131*1.5*3</f>
        <v>23001.704999999998</v>
      </c>
      <c r="H132" s="100" t="s">
        <v>490</v>
      </c>
    </row>
    <row r="133" spans="1:8" customFormat="1" ht="25.5" x14ac:dyDescent="0.2">
      <c r="A133" s="37" t="s">
        <v>332</v>
      </c>
      <c r="B133" s="35">
        <v>5914359</v>
      </c>
      <c r="C133" s="37" t="s">
        <v>119</v>
      </c>
      <c r="D133" s="39" t="s">
        <v>120</v>
      </c>
      <c r="E133" s="78">
        <v>219421.04</v>
      </c>
      <c r="F133" s="99" t="s">
        <v>494</v>
      </c>
      <c r="G133" s="45">
        <f>G131*1.5*7.2</f>
        <v>55204.091999999997</v>
      </c>
      <c r="H133" s="100" t="s">
        <v>491</v>
      </c>
    </row>
    <row r="134" spans="1:8" customFormat="1" ht="12.75" x14ac:dyDescent="0.2">
      <c r="A134" s="70" t="s">
        <v>51</v>
      </c>
      <c r="B134" s="71"/>
      <c r="C134" s="70" t="s">
        <v>333</v>
      </c>
      <c r="D134" s="72"/>
      <c r="E134" s="81" t="s">
        <v>445</v>
      </c>
      <c r="F134" s="73"/>
      <c r="G134" s="73"/>
      <c r="H134" s="73"/>
    </row>
    <row r="135" spans="1:8" customFormat="1" ht="12.75" x14ac:dyDescent="0.2">
      <c r="A135" s="37" t="s">
        <v>334</v>
      </c>
      <c r="B135" s="38" t="s">
        <v>335</v>
      </c>
      <c r="C135" s="37" t="s">
        <v>336</v>
      </c>
      <c r="D135" s="39" t="s">
        <v>14</v>
      </c>
      <c r="E135" s="78">
        <v>22613.439999999999</v>
      </c>
      <c r="F135" s="45"/>
      <c r="G135" s="45"/>
      <c r="H135" s="45"/>
    </row>
    <row r="136" spans="1:8" customFormat="1" ht="12.75" x14ac:dyDescent="0.2">
      <c r="A136" s="48" t="s">
        <v>52</v>
      </c>
      <c r="B136" s="49"/>
      <c r="C136" s="48" t="s">
        <v>337</v>
      </c>
      <c r="D136" s="50"/>
      <c r="E136" s="79" t="s">
        <v>445</v>
      </c>
      <c r="F136" s="66"/>
      <c r="G136" s="66"/>
      <c r="H136" s="66"/>
    </row>
    <row r="137" spans="1:8" customFormat="1" ht="12.75" x14ac:dyDescent="0.2">
      <c r="A137" s="70" t="s">
        <v>53</v>
      </c>
      <c r="B137" s="71"/>
      <c r="C137" s="70" t="s">
        <v>338</v>
      </c>
      <c r="D137" s="72"/>
      <c r="E137" s="81" t="s">
        <v>445</v>
      </c>
      <c r="F137" s="73"/>
      <c r="G137" s="73"/>
      <c r="H137" s="73"/>
    </row>
    <row r="138" spans="1:8" customFormat="1" ht="25.5" x14ac:dyDescent="0.2">
      <c r="A138" s="37" t="s">
        <v>339</v>
      </c>
      <c r="B138" s="38" t="s">
        <v>340</v>
      </c>
      <c r="C138" s="37" t="s">
        <v>341</v>
      </c>
      <c r="D138" s="39" t="s">
        <v>14</v>
      </c>
      <c r="E138" s="78">
        <v>10649.3</v>
      </c>
      <c r="F138" s="45"/>
      <c r="G138" s="45"/>
      <c r="H138" s="45"/>
    </row>
    <row r="139" spans="1:8" customFormat="1" ht="25.5" x14ac:dyDescent="0.2">
      <c r="A139" s="37" t="s">
        <v>342</v>
      </c>
      <c r="B139" s="35">
        <v>5914389</v>
      </c>
      <c r="C139" s="37" t="s">
        <v>331</v>
      </c>
      <c r="D139" s="39" t="s">
        <v>120</v>
      </c>
      <c r="E139" s="78">
        <v>50317.94</v>
      </c>
      <c r="F139" s="45"/>
      <c r="G139" s="45"/>
      <c r="H139" s="45"/>
    </row>
    <row r="140" spans="1:8" customFormat="1" ht="25.5" x14ac:dyDescent="0.2">
      <c r="A140" s="37" t="s">
        <v>343</v>
      </c>
      <c r="B140" s="35">
        <v>5914359</v>
      </c>
      <c r="C140" s="37" t="s">
        <v>119</v>
      </c>
      <c r="D140" s="39" t="s">
        <v>120</v>
      </c>
      <c r="E140" s="78">
        <v>71882.78</v>
      </c>
      <c r="F140" s="45"/>
      <c r="G140" s="45"/>
      <c r="H140" s="45"/>
    </row>
    <row r="141" spans="1:8" customFormat="1" ht="12.75" x14ac:dyDescent="0.2">
      <c r="A141" s="70" t="s">
        <v>54</v>
      </c>
      <c r="B141" s="71"/>
      <c r="C141" s="70" t="s">
        <v>344</v>
      </c>
      <c r="D141" s="72"/>
      <c r="E141" s="81" t="s">
        <v>445</v>
      </c>
      <c r="F141" s="73"/>
      <c r="G141" s="73"/>
      <c r="H141" s="73"/>
    </row>
    <row r="142" spans="1:8" customFormat="1" ht="25.5" x14ac:dyDescent="0.2">
      <c r="A142" s="37" t="s">
        <v>345</v>
      </c>
      <c r="B142" s="38" t="s">
        <v>346</v>
      </c>
      <c r="C142" s="37" t="s">
        <v>347</v>
      </c>
      <c r="D142" s="39" t="s">
        <v>14</v>
      </c>
      <c r="E142" s="78">
        <v>7572.8329999999996</v>
      </c>
      <c r="F142" s="100"/>
      <c r="G142" s="45"/>
      <c r="H142" s="45"/>
    </row>
    <row r="143" spans="1:8" customFormat="1" ht="25.5" x14ac:dyDescent="0.2">
      <c r="A143" s="37" t="s">
        <v>348</v>
      </c>
      <c r="B143" s="35">
        <v>5914389</v>
      </c>
      <c r="C143" s="37" t="s">
        <v>331</v>
      </c>
      <c r="D143" s="39" t="s">
        <v>120</v>
      </c>
      <c r="E143" s="78">
        <v>193675.13</v>
      </c>
      <c r="F143" s="99"/>
      <c r="G143" s="45"/>
      <c r="H143" s="45"/>
    </row>
    <row r="144" spans="1:8" customFormat="1" ht="12.75" x14ac:dyDescent="0.2">
      <c r="A144" s="70" t="s">
        <v>55</v>
      </c>
      <c r="B144" s="71"/>
      <c r="C144" s="70" t="s">
        <v>349</v>
      </c>
      <c r="D144" s="72"/>
      <c r="E144" s="81" t="s">
        <v>445</v>
      </c>
      <c r="F144" s="73"/>
      <c r="G144" s="73"/>
      <c r="H144" s="73"/>
    </row>
    <row r="145" spans="1:8" customFormat="1" ht="25.5" x14ac:dyDescent="0.2">
      <c r="A145" s="37" t="s">
        <v>350</v>
      </c>
      <c r="B145" s="38" t="s">
        <v>351</v>
      </c>
      <c r="C145" s="37" t="s">
        <v>352</v>
      </c>
      <c r="D145" s="39" t="s">
        <v>14</v>
      </c>
      <c r="E145" s="78">
        <v>11832.55</v>
      </c>
      <c r="F145" s="45"/>
      <c r="G145" s="45"/>
      <c r="H145" s="45"/>
    </row>
    <row r="146" spans="1:8" customFormat="1" ht="12.75" x14ac:dyDescent="0.2">
      <c r="A146" s="48" t="s">
        <v>56</v>
      </c>
      <c r="B146" s="49"/>
      <c r="C146" s="48" t="s">
        <v>353</v>
      </c>
      <c r="D146" s="50"/>
      <c r="E146" s="79" t="s">
        <v>445</v>
      </c>
      <c r="F146" s="66"/>
      <c r="G146" s="66"/>
      <c r="H146" s="66"/>
    </row>
    <row r="147" spans="1:8" customFormat="1" ht="12.75" x14ac:dyDescent="0.2">
      <c r="A147" s="70" t="s">
        <v>57</v>
      </c>
      <c r="B147" s="71"/>
      <c r="C147" s="70" t="s">
        <v>354</v>
      </c>
      <c r="D147" s="72"/>
      <c r="E147" s="81" t="s">
        <v>445</v>
      </c>
      <c r="F147" s="73"/>
      <c r="G147" s="73"/>
      <c r="H147" s="73"/>
    </row>
    <row r="148" spans="1:8" customFormat="1" ht="25.5" x14ac:dyDescent="0.2">
      <c r="A148" s="37" t="s">
        <v>355</v>
      </c>
      <c r="B148" s="38" t="s">
        <v>356</v>
      </c>
      <c r="C148" s="43" t="s">
        <v>357</v>
      </c>
      <c r="D148" s="39" t="s">
        <v>29</v>
      </c>
      <c r="E148" s="78">
        <v>60762.400000000001</v>
      </c>
      <c r="F148" s="45"/>
      <c r="G148" s="45"/>
      <c r="H148" s="45"/>
    </row>
    <row r="149" spans="1:8" customFormat="1" ht="12.75" x14ac:dyDescent="0.2">
      <c r="A149" s="70" t="s">
        <v>58</v>
      </c>
      <c r="B149" s="71"/>
      <c r="C149" s="70" t="s">
        <v>358</v>
      </c>
      <c r="D149" s="72"/>
      <c r="E149" s="81" t="s">
        <v>445</v>
      </c>
      <c r="F149" s="73"/>
      <c r="G149" s="73"/>
      <c r="H149" s="73"/>
    </row>
    <row r="150" spans="1:8" customFormat="1" ht="12.75" x14ac:dyDescent="0.2">
      <c r="A150" s="37" t="s">
        <v>359</v>
      </c>
      <c r="B150" s="38" t="s">
        <v>360</v>
      </c>
      <c r="C150" s="37" t="s">
        <v>361</v>
      </c>
      <c r="D150" s="39" t="s">
        <v>29</v>
      </c>
      <c r="E150" s="78">
        <v>56458.52</v>
      </c>
      <c r="F150" s="45"/>
      <c r="G150" s="45"/>
      <c r="H150" s="45"/>
    </row>
    <row r="151" spans="1:8" customFormat="1" ht="12.75" x14ac:dyDescent="0.2">
      <c r="A151" s="70" t="s">
        <v>59</v>
      </c>
      <c r="B151" s="71"/>
      <c r="C151" s="70" t="s">
        <v>362</v>
      </c>
      <c r="D151" s="72"/>
      <c r="E151" s="81" t="s">
        <v>445</v>
      </c>
      <c r="F151" s="73"/>
      <c r="G151" s="73"/>
      <c r="H151" s="73"/>
    </row>
    <row r="152" spans="1:8" customFormat="1" ht="25.5" x14ac:dyDescent="0.2">
      <c r="A152" s="37" t="s">
        <v>363</v>
      </c>
      <c r="B152" s="38" t="s">
        <v>364</v>
      </c>
      <c r="C152" s="37" t="s">
        <v>365</v>
      </c>
      <c r="D152" s="39" t="s">
        <v>14</v>
      </c>
      <c r="E152" s="78">
        <v>2822.9259999999999</v>
      </c>
      <c r="F152" s="45"/>
      <c r="G152" s="45"/>
      <c r="H152" s="45"/>
    </row>
    <row r="153" spans="1:8" customFormat="1" ht="12.75" x14ac:dyDescent="0.2">
      <c r="A153" s="70" t="s">
        <v>60</v>
      </c>
      <c r="B153" s="71"/>
      <c r="C153" s="70" t="s">
        <v>366</v>
      </c>
      <c r="D153" s="72"/>
      <c r="E153" s="81" t="s">
        <v>445</v>
      </c>
      <c r="F153" s="73"/>
      <c r="G153" s="73"/>
      <c r="H153" s="73"/>
    </row>
    <row r="154" spans="1:8" customFormat="1" ht="25.5" x14ac:dyDescent="0.2">
      <c r="A154" s="37" t="s">
        <v>367</v>
      </c>
      <c r="B154" s="38" t="s">
        <v>368</v>
      </c>
      <c r="C154" s="37" t="s">
        <v>369</v>
      </c>
      <c r="D154" s="39" t="s">
        <v>14</v>
      </c>
      <c r="E154" s="78">
        <v>3528.66</v>
      </c>
      <c r="F154" s="45"/>
      <c r="G154" s="45"/>
      <c r="H154" s="45"/>
    </row>
    <row r="155" spans="1:8" customFormat="1" ht="25.5" x14ac:dyDescent="0.2">
      <c r="A155" s="37" t="s">
        <v>370</v>
      </c>
      <c r="B155" s="35">
        <v>914612</v>
      </c>
      <c r="C155" s="37" t="s">
        <v>371</v>
      </c>
      <c r="D155" s="39" t="s">
        <v>120</v>
      </c>
      <c r="E155" s="78">
        <v>116598.31</v>
      </c>
      <c r="F155" s="45"/>
      <c r="G155" s="45"/>
      <c r="H155" s="45"/>
    </row>
    <row r="156" spans="1:8" customFormat="1" ht="12.75" x14ac:dyDescent="0.2">
      <c r="A156" s="48" t="s">
        <v>61</v>
      </c>
      <c r="B156" s="49"/>
      <c r="C156" s="68"/>
      <c r="D156" s="50"/>
      <c r="E156" s="79" t="s">
        <v>445</v>
      </c>
      <c r="F156" s="66"/>
      <c r="G156" s="66"/>
      <c r="H156" s="66"/>
    </row>
    <row r="157" spans="1:8" customFormat="1" ht="25.5" x14ac:dyDescent="0.2">
      <c r="A157" s="37" t="s">
        <v>62</v>
      </c>
      <c r="B157" s="35" t="s">
        <v>372</v>
      </c>
      <c r="C157" s="37" t="s">
        <v>373</v>
      </c>
      <c r="D157" s="39" t="s">
        <v>29</v>
      </c>
      <c r="E157" s="78">
        <v>3567</v>
      </c>
      <c r="F157" s="45"/>
      <c r="G157" s="45"/>
      <c r="H157" s="45"/>
    </row>
    <row r="158" spans="1:8" customFormat="1" ht="12.75" x14ac:dyDescent="0.2">
      <c r="A158" s="37" t="s">
        <v>374</v>
      </c>
      <c r="B158" s="38" t="s">
        <v>375</v>
      </c>
      <c r="C158" s="37" t="s">
        <v>376</v>
      </c>
      <c r="D158" s="39" t="s">
        <v>37</v>
      </c>
      <c r="E158" s="78">
        <v>1311</v>
      </c>
      <c r="F158" s="45"/>
      <c r="G158" s="45"/>
      <c r="H158" s="45"/>
    </row>
    <row r="159" spans="1:8" customFormat="1" ht="12.75" x14ac:dyDescent="0.2">
      <c r="A159" s="55" t="s">
        <v>63</v>
      </c>
      <c r="B159" s="56"/>
      <c r="C159" s="55" t="s">
        <v>377</v>
      </c>
      <c r="D159" s="57"/>
      <c r="E159" s="80" t="s">
        <v>445</v>
      </c>
      <c r="F159" s="62"/>
      <c r="G159" s="62"/>
      <c r="H159" s="62"/>
    </row>
    <row r="160" spans="1:8" customFormat="1" ht="12.75" x14ac:dyDescent="0.2">
      <c r="A160" s="48" t="s">
        <v>64</v>
      </c>
      <c r="B160" s="49"/>
      <c r="C160" s="48" t="s">
        <v>378</v>
      </c>
      <c r="D160" s="50"/>
      <c r="E160" s="79" t="s">
        <v>445</v>
      </c>
      <c r="F160" s="66"/>
      <c r="G160" s="66"/>
      <c r="H160" s="66"/>
    </row>
    <row r="161" spans="1:8" customFormat="1" ht="25.5" x14ac:dyDescent="0.2">
      <c r="A161" s="37" t="s">
        <v>65</v>
      </c>
      <c r="B161" s="35">
        <v>5213446</v>
      </c>
      <c r="C161" s="37" t="s">
        <v>379</v>
      </c>
      <c r="D161" s="39" t="s">
        <v>226</v>
      </c>
      <c r="E161" s="78">
        <v>3</v>
      </c>
      <c r="F161" s="45"/>
      <c r="G161" s="45"/>
      <c r="H161" s="45"/>
    </row>
    <row r="162" spans="1:8" customFormat="1" ht="25.5" x14ac:dyDescent="0.2">
      <c r="A162" s="37" t="s">
        <v>66</v>
      </c>
      <c r="B162" s="35">
        <v>5213450</v>
      </c>
      <c r="C162" s="37" t="s">
        <v>380</v>
      </c>
      <c r="D162" s="39" t="s">
        <v>226</v>
      </c>
      <c r="E162" s="78">
        <v>5</v>
      </c>
      <c r="F162" s="45"/>
      <c r="G162" s="45"/>
      <c r="H162" s="45"/>
    </row>
    <row r="163" spans="1:8" customFormat="1" ht="25.5" x14ac:dyDescent="0.2">
      <c r="A163" s="37" t="s">
        <v>67</v>
      </c>
      <c r="B163" s="35">
        <v>5213442</v>
      </c>
      <c r="C163" s="37" t="s">
        <v>381</v>
      </c>
      <c r="D163" s="39" t="s">
        <v>226</v>
      </c>
      <c r="E163" s="78">
        <v>59</v>
      </c>
      <c r="F163" s="45"/>
      <c r="G163" s="45"/>
      <c r="H163" s="45"/>
    </row>
    <row r="164" spans="1:8" customFormat="1" ht="25.5" x14ac:dyDescent="0.2">
      <c r="A164" s="37" t="s">
        <v>382</v>
      </c>
      <c r="B164" s="35">
        <v>5213466</v>
      </c>
      <c r="C164" s="37" t="s">
        <v>383</v>
      </c>
      <c r="D164" s="39" t="s">
        <v>226</v>
      </c>
      <c r="E164" s="78">
        <v>40</v>
      </c>
      <c r="F164" s="45"/>
      <c r="G164" s="45"/>
      <c r="H164" s="45"/>
    </row>
    <row r="165" spans="1:8" customFormat="1" ht="25.5" x14ac:dyDescent="0.2">
      <c r="A165" s="37" t="s">
        <v>384</v>
      </c>
      <c r="B165" s="35">
        <v>5213498</v>
      </c>
      <c r="C165" s="37" t="s">
        <v>385</v>
      </c>
      <c r="D165" s="39" t="s">
        <v>226</v>
      </c>
      <c r="E165" s="78">
        <v>19</v>
      </c>
      <c r="F165" s="45"/>
      <c r="G165" s="45"/>
      <c r="H165" s="45"/>
    </row>
    <row r="166" spans="1:8" customFormat="1" ht="12.75" x14ac:dyDescent="0.2">
      <c r="A166" s="37" t="s">
        <v>386</v>
      </c>
      <c r="B166" s="35">
        <v>5213571</v>
      </c>
      <c r="C166" s="37" t="s">
        <v>387</v>
      </c>
      <c r="D166" s="39" t="s">
        <v>29</v>
      </c>
      <c r="E166" s="78">
        <v>130.30000000000001</v>
      </c>
      <c r="F166" s="45"/>
      <c r="G166" s="45"/>
      <c r="H166" s="45"/>
    </row>
    <row r="167" spans="1:8" customFormat="1" ht="25.5" x14ac:dyDescent="0.2">
      <c r="A167" s="37" t="s">
        <v>388</v>
      </c>
      <c r="B167" s="35">
        <v>5216111</v>
      </c>
      <c r="C167" s="37" t="s">
        <v>389</v>
      </c>
      <c r="D167" s="39" t="s">
        <v>226</v>
      </c>
      <c r="E167" s="78">
        <v>178</v>
      </c>
      <c r="F167" s="45"/>
      <c r="G167" s="45"/>
      <c r="H167" s="45"/>
    </row>
    <row r="168" spans="1:8" customFormat="1" ht="12.75" x14ac:dyDescent="0.2">
      <c r="A168" s="48" t="s">
        <v>68</v>
      </c>
      <c r="B168" s="49"/>
      <c r="C168" s="48" t="s">
        <v>390</v>
      </c>
      <c r="D168" s="50"/>
      <c r="E168" s="79" t="s">
        <v>445</v>
      </c>
      <c r="F168" s="66"/>
      <c r="G168" s="66"/>
      <c r="H168" s="66"/>
    </row>
    <row r="169" spans="1:8" customFormat="1" ht="25.5" x14ac:dyDescent="0.2">
      <c r="A169" s="37" t="s">
        <v>69</v>
      </c>
      <c r="B169" s="35">
        <v>5213413</v>
      </c>
      <c r="C169" s="37" t="s">
        <v>391</v>
      </c>
      <c r="D169" s="39" t="s">
        <v>29</v>
      </c>
      <c r="E169" s="78">
        <v>2455</v>
      </c>
      <c r="F169" s="45"/>
      <c r="G169" s="45"/>
      <c r="H169" s="45"/>
    </row>
    <row r="170" spans="1:8" customFormat="1" ht="25.5" x14ac:dyDescent="0.2">
      <c r="A170" s="37" t="s">
        <v>70</v>
      </c>
      <c r="B170" s="35">
        <v>5213405</v>
      </c>
      <c r="C170" s="37" t="s">
        <v>392</v>
      </c>
      <c r="D170" s="39" t="s">
        <v>29</v>
      </c>
      <c r="E170" s="78">
        <v>91.68</v>
      </c>
      <c r="F170" s="45"/>
      <c r="G170" s="45"/>
      <c r="H170" s="45"/>
    </row>
    <row r="171" spans="1:8" customFormat="1" ht="25.5" x14ac:dyDescent="0.2">
      <c r="A171" s="37" t="s">
        <v>71</v>
      </c>
      <c r="B171" s="38" t="s">
        <v>393</v>
      </c>
      <c r="C171" s="37" t="s">
        <v>394</v>
      </c>
      <c r="D171" s="39" t="s">
        <v>29</v>
      </c>
      <c r="E171" s="78">
        <v>38.4</v>
      </c>
      <c r="F171" s="45"/>
      <c r="G171" s="45"/>
      <c r="H171" s="45"/>
    </row>
    <row r="172" spans="1:8" customFormat="1" ht="25.5" x14ac:dyDescent="0.2">
      <c r="A172" s="37" t="s">
        <v>72</v>
      </c>
      <c r="B172" s="35">
        <v>5219623</v>
      </c>
      <c r="C172" s="37" t="s">
        <v>395</v>
      </c>
      <c r="D172" s="39" t="s">
        <v>226</v>
      </c>
      <c r="E172" s="78">
        <v>1059</v>
      </c>
      <c r="F172" s="45"/>
      <c r="G172" s="45"/>
      <c r="H172" s="45"/>
    </row>
    <row r="173" spans="1:8" customFormat="1" ht="25.5" x14ac:dyDescent="0.2">
      <c r="A173" s="37" t="s">
        <v>73</v>
      </c>
      <c r="B173" s="35">
        <v>5219631</v>
      </c>
      <c r="C173" s="37" t="s">
        <v>396</v>
      </c>
      <c r="D173" s="39" t="s">
        <v>226</v>
      </c>
      <c r="E173" s="78">
        <v>1229</v>
      </c>
      <c r="F173" s="45"/>
      <c r="G173" s="45"/>
      <c r="H173" s="45"/>
    </row>
    <row r="174" spans="1:8" customFormat="1" ht="12.75" x14ac:dyDescent="0.2">
      <c r="A174" s="55" t="s">
        <v>74</v>
      </c>
      <c r="B174" s="56"/>
      <c r="C174" s="55" t="s">
        <v>397</v>
      </c>
      <c r="D174" s="57"/>
      <c r="E174" s="80" t="s">
        <v>445</v>
      </c>
      <c r="F174" s="62"/>
      <c r="G174" s="62"/>
      <c r="H174" s="62"/>
    </row>
    <row r="175" spans="1:8" customFormat="1" ht="12.75" x14ac:dyDescent="0.2">
      <c r="A175" s="48" t="s">
        <v>75</v>
      </c>
      <c r="B175" s="49"/>
      <c r="C175" s="48" t="s">
        <v>398</v>
      </c>
      <c r="D175" s="50"/>
      <c r="E175" s="79" t="s">
        <v>445</v>
      </c>
      <c r="F175" s="66"/>
      <c r="G175" s="66"/>
      <c r="H175" s="66"/>
    </row>
    <row r="176" spans="1:8" customFormat="1" ht="12.75" x14ac:dyDescent="0.2">
      <c r="A176" s="37" t="s">
        <v>76</v>
      </c>
      <c r="B176" s="38" t="s">
        <v>399</v>
      </c>
      <c r="C176" s="37" t="s">
        <v>400</v>
      </c>
      <c r="D176" s="39" t="s">
        <v>29</v>
      </c>
      <c r="E176" s="78">
        <v>3710.25</v>
      </c>
      <c r="F176" s="45"/>
      <c r="G176" s="45"/>
      <c r="H176" s="45"/>
    </row>
    <row r="177" spans="1:10" customFormat="1" ht="12.75" x14ac:dyDescent="0.2">
      <c r="A177" s="38" t="s">
        <v>79</v>
      </c>
      <c r="B177" s="37" t="s">
        <v>401</v>
      </c>
      <c r="C177" s="37" t="s">
        <v>402</v>
      </c>
      <c r="D177" s="39" t="s">
        <v>29</v>
      </c>
      <c r="E177" s="78">
        <v>40656.660000000003</v>
      </c>
      <c r="F177" s="45"/>
      <c r="G177" s="45"/>
      <c r="H177" s="45"/>
    </row>
    <row r="178" spans="1:10" customFormat="1" ht="12.75" x14ac:dyDescent="0.2">
      <c r="A178" s="48" t="s">
        <v>403</v>
      </c>
      <c r="B178" s="68"/>
      <c r="C178" s="48" t="s">
        <v>404</v>
      </c>
      <c r="D178" s="50"/>
      <c r="E178" s="79" t="s">
        <v>445</v>
      </c>
      <c r="F178" s="66"/>
      <c r="G178" s="66"/>
      <c r="H178" s="66"/>
    </row>
    <row r="179" spans="1:10" customFormat="1" ht="12.75" x14ac:dyDescent="0.2">
      <c r="A179" s="37" t="s">
        <v>405</v>
      </c>
      <c r="B179" s="38" t="s">
        <v>406</v>
      </c>
      <c r="C179" s="37" t="s">
        <v>407</v>
      </c>
      <c r="D179" s="39" t="s">
        <v>22</v>
      </c>
      <c r="E179" s="78">
        <v>50</v>
      </c>
      <c r="F179" s="45"/>
      <c r="G179" s="45"/>
      <c r="H179" s="45"/>
    </row>
    <row r="180" spans="1:10" customFormat="1" ht="25.5" x14ac:dyDescent="0.2">
      <c r="A180" s="37" t="s">
        <v>408</v>
      </c>
      <c r="B180" s="38" t="s">
        <v>409</v>
      </c>
      <c r="C180" s="37" t="s">
        <v>410</v>
      </c>
      <c r="D180" s="39" t="s">
        <v>37</v>
      </c>
      <c r="E180" s="78">
        <v>4883</v>
      </c>
      <c r="F180" s="45"/>
      <c r="G180" s="45"/>
      <c r="H180" s="45"/>
    </row>
    <row r="181" spans="1:10" customFormat="1" ht="12.75" x14ac:dyDescent="0.2">
      <c r="A181" s="37" t="s">
        <v>411</v>
      </c>
      <c r="B181" s="38" t="s">
        <v>412</v>
      </c>
      <c r="C181" s="37" t="s">
        <v>85</v>
      </c>
      <c r="D181" s="39" t="s">
        <v>86</v>
      </c>
      <c r="E181" s="78">
        <v>60057</v>
      </c>
      <c r="F181" s="45"/>
      <c r="G181" s="45"/>
      <c r="H181" s="45"/>
    </row>
    <row r="182" spans="1:10" customFormat="1" ht="63.75" x14ac:dyDescent="0.2">
      <c r="A182" s="37" t="s">
        <v>413</v>
      </c>
      <c r="B182" s="43"/>
      <c r="C182" s="37" t="s">
        <v>414</v>
      </c>
      <c r="D182" s="39" t="s">
        <v>37</v>
      </c>
      <c r="E182" s="78">
        <v>17088</v>
      </c>
      <c r="F182" s="101" t="s">
        <v>500</v>
      </c>
      <c r="G182" s="45">
        <v>2940</v>
      </c>
      <c r="H182" s="45"/>
    </row>
    <row r="183" spans="1:10" customFormat="1" ht="12.75" x14ac:dyDescent="0.2">
      <c r="A183" s="48" t="s">
        <v>415</v>
      </c>
      <c r="B183" s="68"/>
      <c r="C183" s="48" t="s">
        <v>416</v>
      </c>
      <c r="D183" s="50"/>
      <c r="E183" s="79" t="s">
        <v>445</v>
      </c>
      <c r="F183" s="66"/>
      <c r="G183" s="66"/>
      <c r="H183" s="66"/>
    </row>
    <row r="184" spans="1:10" customFormat="1" ht="38.25" x14ac:dyDescent="0.2">
      <c r="A184" s="37" t="s">
        <v>417</v>
      </c>
      <c r="B184" s="38" t="s">
        <v>418</v>
      </c>
      <c r="C184" s="43" t="s">
        <v>419</v>
      </c>
      <c r="D184" s="39" t="s">
        <v>29</v>
      </c>
      <c r="E184" s="78">
        <v>210</v>
      </c>
      <c r="F184" s="45"/>
      <c r="G184" s="45"/>
      <c r="H184" s="45"/>
    </row>
    <row r="185" spans="1:10" customFormat="1" ht="25.5" x14ac:dyDescent="0.2">
      <c r="A185" s="37" t="s">
        <v>420</v>
      </c>
      <c r="B185" s="38" t="s">
        <v>421</v>
      </c>
      <c r="C185" s="37" t="s">
        <v>422</v>
      </c>
      <c r="D185" s="39" t="s">
        <v>14</v>
      </c>
      <c r="E185" s="78">
        <v>21</v>
      </c>
      <c r="F185" s="45"/>
      <c r="G185" s="45"/>
      <c r="H185" s="45"/>
    </row>
    <row r="186" spans="1:10" customFormat="1" ht="25.5" x14ac:dyDescent="0.2">
      <c r="A186" s="37" t="s">
        <v>423</v>
      </c>
      <c r="B186" s="38" t="s">
        <v>424</v>
      </c>
      <c r="C186" s="37" t="s">
        <v>425</v>
      </c>
      <c r="D186" s="39" t="s">
        <v>37</v>
      </c>
      <c r="E186" s="78">
        <v>21</v>
      </c>
      <c r="F186" s="45"/>
      <c r="G186" s="45"/>
      <c r="H186" s="45"/>
    </row>
    <row r="187" spans="1:10" customFormat="1" ht="25.5" x14ac:dyDescent="0.2">
      <c r="A187" s="37" t="s">
        <v>426</v>
      </c>
      <c r="B187" s="38" t="s">
        <v>427</v>
      </c>
      <c r="C187" s="37" t="s">
        <v>428</v>
      </c>
      <c r="D187" s="39" t="s">
        <v>37</v>
      </c>
      <c r="E187" s="78">
        <v>7</v>
      </c>
      <c r="F187" s="45"/>
      <c r="G187" s="45"/>
      <c r="H187" s="45"/>
    </row>
    <row r="188" spans="1:10" customFormat="1" ht="12.75" x14ac:dyDescent="0.2">
      <c r="A188" s="48" t="s">
        <v>429</v>
      </c>
      <c r="B188" s="68"/>
      <c r="C188" s="48" t="s">
        <v>430</v>
      </c>
      <c r="D188" s="50"/>
      <c r="E188" s="79" t="s">
        <v>445</v>
      </c>
      <c r="F188" s="66"/>
      <c r="G188" s="66"/>
      <c r="H188" s="66"/>
    </row>
    <row r="189" spans="1:10" customFormat="1" ht="12.75" x14ac:dyDescent="0.2">
      <c r="A189" s="37" t="s">
        <v>431</v>
      </c>
      <c r="B189" s="38" t="s">
        <v>432</v>
      </c>
      <c r="C189" s="37" t="s">
        <v>433</v>
      </c>
      <c r="D189" s="39" t="s">
        <v>14</v>
      </c>
      <c r="E189" s="78">
        <v>20</v>
      </c>
      <c r="F189" s="45"/>
      <c r="G189" s="45"/>
      <c r="H189" s="45"/>
      <c r="J189">
        <v>240284.79</v>
      </c>
    </row>
    <row r="190" spans="1:10" customFormat="1" ht="25.5" x14ac:dyDescent="0.2">
      <c r="A190" s="37" t="s">
        <v>434</v>
      </c>
      <c r="B190" s="38" t="s">
        <v>435</v>
      </c>
      <c r="C190" s="37" t="s">
        <v>436</v>
      </c>
      <c r="D190" s="39" t="s">
        <v>29</v>
      </c>
      <c r="E190" s="78">
        <v>80</v>
      </c>
      <c r="F190" s="45"/>
      <c r="G190" s="45"/>
      <c r="H190" s="45"/>
    </row>
    <row r="191" spans="1:10" customFormat="1" ht="12.75" x14ac:dyDescent="0.2">
      <c r="A191" s="55" t="s">
        <v>80</v>
      </c>
      <c r="B191" s="64"/>
      <c r="C191" s="55" t="s">
        <v>437</v>
      </c>
      <c r="D191" s="57"/>
      <c r="E191" s="80" t="s">
        <v>445</v>
      </c>
      <c r="F191" s="62"/>
      <c r="G191" s="62"/>
      <c r="H191" s="62"/>
      <c r="I191" s="93" t="e">
        <f>(#REF!/I192)</f>
        <v>#REF!</v>
      </c>
      <c r="J191" s="92" t="e">
        <f>#REF!*I191</f>
        <v>#REF!</v>
      </c>
    </row>
    <row r="192" spans="1:10" customFormat="1" ht="12.75" x14ac:dyDescent="0.2">
      <c r="A192" s="48" t="s">
        <v>81</v>
      </c>
      <c r="B192" s="68"/>
      <c r="C192" s="48" t="s">
        <v>438</v>
      </c>
      <c r="D192" s="50"/>
      <c r="E192" s="79" t="s">
        <v>445</v>
      </c>
      <c r="F192" s="66"/>
      <c r="G192" s="66"/>
      <c r="H192" s="66"/>
      <c r="I192" s="97">
        <v>9304636.8000000007</v>
      </c>
    </row>
    <row r="193" spans="1:10" customFormat="1" ht="12.75" x14ac:dyDescent="0.2">
      <c r="A193" s="37" t="s">
        <v>82</v>
      </c>
      <c r="B193" s="43"/>
      <c r="C193" s="37" t="s">
        <v>439</v>
      </c>
      <c r="D193" s="39" t="s">
        <v>22</v>
      </c>
      <c r="E193" s="78">
        <v>1</v>
      </c>
      <c r="F193" s="100" t="s">
        <v>487</v>
      </c>
      <c r="G193" s="45">
        <v>7.3099999999999998E-2</v>
      </c>
      <c r="H193" s="45"/>
      <c r="J193" s="94" t="e">
        <f>J191/J189</f>
        <v>#REF!</v>
      </c>
    </row>
    <row r="194" spans="1:10" customFormat="1" ht="12.75" x14ac:dyDescent="0.2">
      <c r="A194" s="37" t="s">
        <v>83</v>
      </c>
      <c r="B194" s="43"/>
      <c r="C194" s="37" t="s">
        <v>21</v>
      </c>
      <c r="D194" s="39" t="s">
        <v>22</v>
      </c>
      <c r="E194" s="78">
        <v>1</v>
      </c>
      <c r="F194" s="100" t="s">
        <v>487</v>
      </c>
      <c r="G194" s="45">
        <v>7.3099999999999998E-2</v>
      </c>
      <c r="H194" s="45"/>
    </row>
    <row r="195" spans="1:10" customFormat="1" ht="12.75" x14ac:dyDescent="0.2">
      <c r="A195" s="37" t="s">
        <v>84</v>
      </c>
      <c r="B195" s="43"/>
      <c r="C195" s="37" t="s">
        <v>440</v>
      </c>
      <c r="D195" s="39" t="s">
        <v>22</v>
      </c>
      <c r="E195" s="78">
        <v>1</v>
      </c>
      <c r="F195" s="100" t="s">
        <v>487</v>
      </c>
      <c r="G195" s="45">
        <v>7.3099999999999998E-2</v>
      </c>
      <c r="H195" s="45"/>
    </row>
    <row r="196" spans="1:10" customFormat="1" ht="12.75" x14ac:dyDescent="0.2">
      <c r="A196" s="48" t="s">
        <v>441</v>
      </c>
      <c r="B196" s="68"/>
      <c r="C196" s="48" t="s">
        <v>442</v>
      </c>
      <c r="D196" s="50"/>
      <c r="E196" s="79" t="s">
        <v>445</v>
      </c>
      <c r="F196" s="66"/>
      <c r="G196" s="66"/>
      <c r="H196" s="66"/>
    </row>
    <row r="197" spans="1:10" customFormat="1" ht="12.75" x14ac:dyDescent="0.2">
      <c r="A197" s="41" t="s">
        <v>443</v>
      </c>
      <c r="B197" s="41"/>
      <c r="C197" s="41" t="s">
        <v>444</v>
      </c>
      <c r="D197" s="39" t="s">
        <v>226</v>
      </c>
      <c r="E197" s="78">
        <v>1</v>
      </c>
      <c r="F197" s="45"/>
      <c r="G197" s="45"/>
      <c r="H197" s="45"/>
    </row>
    <row r="198" spans="1:10" customFormat="1" ht="12.75" x14ac:dyDescent="0.2">
      <c r="A198" s="95" t="s">
        <v>461</v>
      </c>
      <c r="B198" s="64"/>
      <c r="C198" s="55" t="s">
        <v>462</v>
      </c>
      <c r="D198" s="57"/>
      <c r="E198" s="80"/>
      <c r="F198" s="62"/>
      <c r="G198" s="62"/>
      <c r="H198" s="62"/>
    </row>
    <row r="199" spans="1:10" customFormat="1" ht="12.75" x14ac:dyDescent="0.2">
      <c r="A199" s="48" t="s">
        <v>472</v>
      </c>
      <c r="B199" s="68"/>
      <c r="C199" s="48" t="s">
        <v>463</v>
      </c>
      <c r="D199" s="50"/>
      <c r="E199" s="79"/>
      <c r="F199" s="66"/>
      <c r="G199" s="66"/>
      <c r="H199" s="66"/>
    </row>
    <row r="200" spans="1:10" customFormat="1" ht="25.5" x14ac:dyDescent="0.2">
      <c r="A200" s="37" t="s">
        <v>473</v>
      </c>
      <c r="B200" s="41"/>
      <c r="C200" s="41" t="s">
        <v>464</v>
      </c>
      <c r="D200" s="39" t="s">
        <v>467</v>
      </c>
      <c r="E200" s="78">
        <v>72.91</v>
      </c>
      <c r="F200" s="45"/>
      <c r="G200" s="45"/>
      <c r="H200" s="96"/>
    </row>
    <row r="201" spans="1:10" customFormat="1" ht="25.5" x14ac:dyDescent="0.2">
      <c r="A201" s="37" t="s">
        <v>474</v>
      </c>
      <c r="B201" s="41"/>
      <c r="C201" s="41" t="s">
        <v>465</v>
      </c>
      <c r="D201" s="39" t="s">
        <v>87</v>
      </c>
      <c r="E201" s="78">
        <v>25406.33</v>
      </c>
      <c r="F201" s="45"/>
      <c r="G201" s="45"/>
      <c r="H201" s="96"/>
    </row>
    <row r="202" spans="1:10" customFormat="1" ht="25.5" x14ac:dyDescent="0.2">
      <c r="A202" s="37" t="s">
        <v>475</v>
      </c>
      <c r="B202" s="41"/>
      <c r="C202" s="41" t="s">
        <v>466</v>
      </c>
      <c r="D202" s="39" t="s">
        <v>467</v>
      </c>
      <c r="E202" s="78">
        <v>456.02</v>
      </c>
      <c r="F202" s="45"/>
      <c r="G202" s="45"/>
      <c r="H202" s="96"/>
    </row>
    <row r="203" spans="1:10" customFormat="1" ht="12.75" x14ac:dyDescent="0.2">
      <c r="A203" s="48" t="s">
        <v>476</v>
      </c>
      <c r="B203" s="68"/>
      <c r="C203" s="48" t="s">
        <v>468</v>
      </c>
      <c r="D203" s="50"/>
      <c r="E203" s="79"/>
      <c r="F203" s="66"/>
      <c r="G203" s="66"/>
      <c r="H203" s="66"/>
    </row>
    <row r="204" spans="1:10" customFormat="1" ht="12.75" x14ac:dyDescent="0.2">
      <c r="A204" s="41" t="s">
        <v>477</v>
      </c>
      <c r="B204" s="41"/>
      <c r="C204" s="41" t="s">
        <v>469</v>
      </c>
      <c r="D204" s="39" t="s">
        <v>467</v>
      </c>
      <c r="E204" s="78">
        <v>72.91</v>
      </c>
      <c r="F204" s="45"/>
      <c r="G204" s="45"/>
      <c r="H204" s="96"/>
    </row>
    <row r="205" spans="1:10" customFormat="1" ht="12.75" x14ac:dyDescent="0.2">
      <c r="A205" s="41" t="s">
        <v>478</v>
      </c>
      <c r="B205" s="41"/>
      <c r="C205" s="41" t="s">
        <v>470</v>
      </c>
      <c r="D205" s="39" t="s">
        <v>467</v>
      </c>
      <c r="E205" s="78">
        <v>25.41</v>
      </c>
      <c r="F205" s="45"/>
      <c r="G205" s="45"/>
      <c r="H205" s="96"/>
    </row>
    <row r="206" spans="1:10" customFormat="1" ht="12.75" x14ac:dyDescent="0.2">
      <c r="A206" s="41" t="s">
        <v>479</v>
      </c>
      <c r="B206" s="41"/>
      <c r="C206" s="41" t="s">
        <v>471</v>
      </c>
      <c r="D206" s="39" t="s">
        <v>467</v>
      </c>
      <c r="E206" s="78">
        <v>456.02</v>
      </c>
      <c r="F206" s="45"/>
      <c r="G206" s="45"/>
      <c r="H206" s="96"/>
    </row>
    <row r="207" spans="1:10" s="6" customFormat="1" ht="12.75" x14ac:dyDescent="0.2">
      <c r="A207" s="226"/>
      <c r="B207" s="227"/>
      <c r="C207" s="228" t="s">
        <v>89</v>
      </c>
      <c r="D207" s="229"/>
      <c r="E207" s="229"/>
      <c r="F207" s="229"/>
      <c r="G207" s="229"/>
      <c r="H207" s="229"/>
    </row>
    <row r="208" spans="1:10" ht="18" customHeight="1" x14ac:dyDescent="0.2">
      <c r="A208" s="230"/>
      <c r="B208" s="231"/>
      <c r="C208" s="231"/>
      <c r="D208" s="231"/>
      <c r="E208" s="231"/>
      <c r="F208" s="220"/>
      <c r="G208" s="220"/>
      <c r="H208" s="220"/>
    </row>
  </sheetData>
  <autoFilter ref="A11:H208" xr:uid="{00000000-0001-0000-0000-000000000000}"/>
  <mergeCells count="13">
    <mergeCell ref="A2:C3"/>
    <mergeCell ref="A5:H5"/>
    <mergeCell ref="A7:H7"/>
    <mergeCell ref="A10:A11"/>
    <mergeCell ref="B10:B11"/>
    <mergeCell ref="C10:C11"/>
    <mergeCell ref="D10:D11"/>
    <mergeCell ref="E10:H10"/>
    <mergeCell ref="I10:J10"/>
    <mergeCell ref="B60:C60"/>
    <mergeCell ref="A207:B207"/>
    <mergeCell ref="C207:H207"/>
    <mergeCell ref="A208:H208"/>
  </mergeCells>
  <printOptions horizontalCentered="1"/>
  <pageMargins left="0.39370078740157483" right="0.39370078740157483" top="0.59055118110236227" bottom="0.78740157480314965" header="0.31496062992125984" footer="0.31496062992125984"/>
  <pageSetup paperSize="9" scale="46" fitToHeight="4" orientation="portrait" r:id="rId1"/>
  <rowBreaks count="4" manualBreakCount="4">
    <brk id="48" max="7" man="1"/>
    <brk id="60" max="7" man="1"/>
    <brk id="85" max="7" man="1"/>
    <brk id="112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CF47-1636-4436-A3AD-BB59BD05A03F}">
  <sheetPr>
    <pageSetUpPr fitToPage="1"/>
  </sheetPr>
  <dimension ref="A1:F155"/>
  <sheetViews>
    <sheetView view="pageBreakPreview" zoomScaleNormal="100" zoomScaleSheetLayoutView="100" workbookViewId="0">
      <selection activeCell="H42" sqref="H42"/>
    </sheetView>
  </sheetViews>
  <sheetFormatPr defaultColWidth="9.33203125" defaultRowHeight="12.75" x14ac:dyDescent="0.2"/>
  <cols>
    <col min="1" max="1" width="33.5" style="182" customWidth="1"/>
    <col min="2" max="2" width="36.6640625" style="182" customWidth="1"/>
    <col min="3" max="4" width="33.5" style="182" customWidth="1"/>
    <col min="5" max="16384" width="9.33203125" style="182"/>
  </cols>
  <sheetData>
    <row r="1" spans="1:4" ht="12.75" customHeight="1" x14ac:dyDescent="0.2">
      <c r="A1" s="15"/>
      <c r="B1" s="16"/>
      <c r="C1" s="16"/>
      <c r="D1" s="17"/>
    </row>
    <row r="2" spans="1:4" ht="12.75" customHeight="1" x14ac:dyDescent="0.2">
      <c r="A2" s="221" t="s">
        <v>93</v>
      </c>
      <c r="B2" s="222"/>
      <c r="C2" s="222"/>
      <c r="D2" s="247"/>
    </row>
    <row r="3" spans="1:4" ht="12.75" customHeight="1" x14ac:dyDescent="0.2">
      <c r="A3" s="221"/>
      <c r="B3" s="222"/>
      <c r="C3" s="222"/>
      <c r="D3" s="247"/>
    </row>
    <row r="4" spans="1:4" ht="12.75" customHeight="1" x14ac:dyDescent="0.2">
      <c r="A4" s="21"/>
      <c r="B4" s="22"/>
      <c r="C4" s="23"/>
      <c r="D4" s="183"/>
    </row>
    <row r="5" spans="1:4" x14ac:dyDescent="0.2">
      <c r="A5" s="248" t="s">
        <v>95</v>
      </c>
      <c r="B5" s="249"/>
      <c r="C5" s="249"/>
      <c r="D5" s="184"/>
    </row>
    <row r="6" spans="1:4" x14ac:dyDescent="0.2">
      <c r="A6" s="250"/>
      <c r="B6" s="251"/>
      <c r="C6" s="251"/>
      <c r="D6" s="185"/>
    </row>
    <row r="7" spans="1:4" ht="15.75" x14ac:dyDescent="0.2">
      <c r="A7" s="232" t="s">
        <v>565</v>
      </c>
      <c r="B7" s="233"/>
      <c r="C7" s="233"/>
      <c r="D7" s="252"/>
    </row>
    <row r="8" spans="1:4" x14ac:dyDescent="0.2">
      <c r="A8" s="186" t="s">
        <v>91</v>
      </c>
      <c r="B8" s="187" t="s">
        <v>94</v>
      </c>
      <c r="C8" s="188"/>
      <c r="D8" s="189" t="s">
        <v>726</v>
      </c>
    </row>
    <row r="9" spans="1:4" x14ac:dyDescent="0.2">
      <c r="A9" s="28" t="s">
        <v>455</v>
      </c>
      <c r="B9" s="29" t="s">
        <v>456</v>
      </c>
      <c r="C9" s="190"/>
      <c r="D9" s="191" t="str">
        <f>'BM 11 do Contrato'!F9</f>
        <v>01/01/25 à 07/02/25</v>
      </c>
    </row>
    <row r="10" spans="1:4" x14ac:dyDescent="0.2">
      <c r="A10" s="253" t="s">
        <v>727</v>
      </c>
      <c r="B10" s="253"/>
      <c r="C10" s="253"/>
      <c r="D10" s="253"/>
    </row>
    <row r="11" spans="1:4" x14ac:dyDescent="0.2">
      <c r="A11" s="253"/>
      <c r="B11" s="253"/>
      <c r="C11" s="253"/>
      <c r="D11" s="253"/>
    </row>
    <row r="12" spans="1:4" x14ac:dyDescent="0.2">
      <c r="A12" s="253"/>
      <c r="B12" s="253"/>
      <c r="C12" s="253"/>
      <c r="D12" s="253"/>
    </row>
    <row r="13" spans="1:4" ht="21" x14ac:dyDescent="0.2">
      <c r="A13" s="254" t="s">
        <v>568</v>
      </c>
      <c r="B13" s="255"/>
      <c r="C13" s="255"/>
      <c r="D13" s="256"/>
    </row>
    <row r="14" spans="1:4" ht="15.75" x14ac:dyDescent="0.2">
      <c r="A14" s="193" t="s">
        <v>569</v>
      </c>
      <c r="B14" s="193" t="s">
        <v>570</v>
      </c>
      <c r="C14" s="193" t="s">
        <v>728</v>
      </c>
      <c r="D14" s="193"/>
    </row>
    <row r="15" spans="1:4" ht="15.75" x14ac:dyDescent="0.2">
      <c r="A15" s="193" t="s">
        <v>729</v>
      </c>
      <c r="B15" s="193">
        <f>2040*9*0.18</f>
        <v>3304.7999999999997</v>
      </c>
      <c r="C15" s="193" t="s">
        <v>14</v>
      </c>
      <c r="D15" s="193" t="s">
        <v>571</v>
      </c>
    </row>
    <row r="16" spans="1:4" ht="15.75" x14ac:dyDescent="0.2">
      <c r="A16" s="193" t="s">
        <v>731</v>
      </c>
      <c r="B16" s="193">
        <f>2040*9*0.11</f>
        <v>2019.6</v>
      </c>
      <c r="C16" s="193" t="s">
        <v>14</v>
      </c>
      <c r="D16" s="193" t="s">
        <v>730</v>
      </c>
    </row>
    <row r="17" spans="1:6" ht="15.75" x14ac:dyDescent="0.2">
      <c r="A17" s="193" t="s">
        <v>572</v>
      </c>
      <c r="B17" s="193">
        <f>B16</f>
        <v>2019.6</v>
      </c>
      <c r="C17" s="193" t="s">
        <v>14</v>
      </c>
      <c r="D17" s="193" t="s">
        <v>573</v>
      </c>
    </row>
    <row r="18" spans="1:6" ht="15.75" x14ac:dyDescent="0.2">
      <c r="A18" s="193" t="s">
        <v>574</v>
      </c>
      <c r="B18" s="193">
        <f>B17*1.3</f>
        <v>2625.48</v>
      </c>
      <c r="C18" s="193" t="s">
        <v>14</v>
      </c>
      <c r="D18" s="193"/>
    </row>
    <row r="19" spans="1:6" ht="15.75" x14ac:dyDescent="0.2">
      <c r="A19" s="236"/>
      <c r="B19" s="236"/>
      <c r="C19" s="236"/>
      <c r="D19" s="236"/>
    </row>
    <row r="20" spans="1:6" ht="15" customHeight="1" x14ac:dyDescent="0.2">
      <c r="A20" s="193" t="s">
        <v>575</v>
      </c>
      <c r="B20" s="193"/>
      <c r="C20" s="193"/>
      <c r="D20" s="193"/>
    </row>
    <row r="21" spans="1:6" ht="15.75" x14ac:dyDescent="0.2">
      <c r="A21" s="237" t="s">
        <v>732</v>
      </c>
      <c r="B21" s="238"/>
      <c r="C21" s="238"/>
      <c r="D21" s="238"/>
    </row>
    <row r="22" spans="1:6" ht="33" customHeight="1" x14ac:dyDescent="0.2">
      <c r="A22" s="193" t="s">
        <v>576</v>
      </c>
      <c r="B22" s="193" t="s">
        <v>733</v>
      </c>
      <c r="C22" s="195">
        <f>2625.48*1.5*5.55</f>
        <v>21857.120999999999</v>
      </c>
      <c r="D22" s="193" t="s">
        <v>566</v>
      </c>
      <c r="E22" s="196"/>
      <c r="F22" s="197"/>
    </row>
    <row r="23" spans="1:6" ht="15.75" customHeight="1" x14ac:dyDescent="0.2">
      <c r="A23" s="193" t="s">
        <v>567</v>
      </c>
      <c r="B23" s="193" t="s">
        <v>734</v>
      </c>
      <c r="C23" s="193">
        <f>2625.48*1.5*3.15</f>
        <v>12405.393</v>
      </c>
      <c r="D23" s="193" t="s">
        <v>566</v>
      </c>
      <c r="E23" s="197"/>
      <c r="F23" s="197"/>
    </row>
    <row r="24" spans="1:6" ht="15.75" customHeight="1" x14ac:dyDescent="0.2">
      <c r="A24" s="192"/>
      <c r="B24" s="192"/>
      <c r="C24" s="192"/>
      <c r="D24" s="197"/>
    </row>
    <row r="25" spans="1:6" ht="15.75" customHeight="1" x14ac:dyDescent="0.2">
      <c r="A25" s="192"/>
      <c r="B25" s="192"/>
      <c r="C25" s="192"/>
      <c r="D25" s="197"/>
    </row>
    <row r="26" spans="1:6" ht="15.75" customHeight="1" x14ac:dyDescent="0.2">
      <c r="A26" s="240" t="s">
        <v>577</v>
      </c>
      <c r="B26" s="240"/>
      <c r="C26" s="240"/>
      <c r="D26" s="240"/>
    </row>
    <row r="27" spans="1:6" ht="15.75" customHeight="1" x14ac:dyDescent="0.2">
      <c r="A27" s="193" t="s">
        <v>578</v>
      </c>
      <c r="B27" s="218">
        <f>'AQUISIÇÃO DE BGS'!B96</f>
        <v>1714.1066666666673</v>
      </c>
      <c r="C27" s="193" t="s">
        <v>14</v>
      </c>
      <c r="D27" s="198"/>
    </row>
    <row r="28" spans="1:6" ht="15.75" customHeight="1" x14ac:dyDescent="0.2">
      <c r="A28" s="193" t="s">
        <v>579</v>
      </c>
      <c r="B28" s="218">
        <f>'AQUISIÇÃO DE BGS'!B97</f>
        <v>43838.278000000013</v>
      </c>
      <c r="C28" s="193" t="s">
        <v>566</v>
      </c>
      <c r="D28" s="198"/>
    </row>
    <row r="29" spans="1:6" ht="15.75" customHeight="1" x14ac:dyDescent="0.2">
      <c r="A29" s="193" t="s">
        <v>580</v>
      </c>
      <c r="B29" s="193">
        <f>B15</f>
        <v>3304.7999999999997</v>
      </c>
      <c r="C29" s="193" t="s">
        <v>14</v>
      </c>
      <c r="D29" s="199"/>
    </row>
    <row r="30" spans="1:6" ht="15.75" customHeight="1" x14ac:dyDescent="0.2">
      <c r="A30" s="192"/>
      <c r="B30" s="192"/>
      <c r="C30" s="192"/>
      <c r="D30" s="192"/>
    </row>
    <row r="31" spans="1:6" ht="15.75" customHeight="1" x14ac:dyDescent="0.2">
      <c r="A31" s="241" t="s">
        <v>581</v>
      </c>
      <c r="B31" s="242"/>
      <c r="C31" s="242"/>
      <c r="D31" s="243"/>
    </row>
    <row r="32" spans="1:6" ht="15.75" x14ac:dyDescent="0.2">
      <c r="A32" s="244" t="s">
        <v>735</v>
      </c>
      <c r="B32" s="245"/>
      <c r="C32" s="245"/>
      <c r="D32" s="246"/>
    </row>
    <row r="33" spans="1:4" ht="15.75" x14ac:dyDescent="0.2">
      <c r="A33" s="244" t="s">
        <v>736</v>
      </c>
      <c r="B33" s="245"/>
      <c r="C33" s="245"/>
      <c r="D33" s="246"/>
    </row>
    <row r="34" spans="1:4" ht="15.75" x14ac:dyDescent="0.2">
      <c r="A34" s="244" t="s">
        <v>737</v>
      </c>
      <c r="B34" s="245"/>
      <c r="C34" s="245"/>
      <c r="D34" s="246"/>
    </row>
    <row r="35" spans="1:4" ht="15.75" x14ac:dyDescent="0.2">
      <c r="A35" s="244" t="s">
        <v>738</v>
      </c>
      <c r="B35" s="245"/>
      <c r="C35" s="245"/>
      <c r="D35" s="246"/>
    </row>
    <row r="36" spans="1:4" ht="15.75" x14ac:dyDescent="0.2">
      <c r="A36" s="244" t="s">
        <v>739</v>
      </c>
      <c r="B36" s="245"/>
      <c r="C36" s="245"/>
      <c r="D36" s="246"/>
    </row>
    <row r="37" spans="1:4" ht="15.75" x14ac:dyDescent="0.2">
      <c r="A37" s="244" t="s">
        <v>740</v>
      </c>
      <c r="B37" s="245"/>
      <c r="C37" s="245"/>
      <c r="D37" s="246"/>
    </row>
    <row r="38" spans="1:4" ht="15.75" x14ac:dyDescent="0.2">
      <c r="A38" s="244" t="s">
        <v>741</v>
      </c>
      <c r="B38" s="245"/>
      <c r="C38" s="245"/>
      <c r="D38" s="246"/>
    </row>
    <row r="39" spans="1:4" ht="15.75" x14ac:dyDescent="0.2">
      <c r="A39" s="244" t="s">
        <v>742</v>
      </c>
      <c r="B39" s="245"/>
      <c r="C39" s="245"/>
      <c r="D39" s="246"/>
    </row>
    <row r="40" spans="1:4" ht="15.75" x14ac:dyDescent="0.2">
      <c r="A40" s="200"/>
      <c r="B40" s="239"/>
      <c r="C40" s="239"/>
      <c r="D40" s="239"/>
    </row>
    <row r="41" spans="1:4" ht="15.75" x14ac:dyDescent="0.2">
      <c r="A41" s="192"/>
      <c r="B41" s="239"/>
      <c r="C41" s="239"/>
      <c r="D41" s="239"/>
    </row>
    <row r="42" spans="1:4" ht="15.75" x14ac:dyDescent="0.2">
      <c r="A42" s="192"/>
      <c r="B42" s="194"/>
      <c r="C42" s="194"/>
      <c r="D42" s="194"/>
    </row>
    <row r="43" spans="1:4" ht="15.75" x14ac:dyDescent="0.2">
      <c r="A43" s="192"/>
      <c r="B43" s="194"/>
      <c r="C43" s="194"/>
      <c r="D43" s="194"/>
    </row>
    <row r="44" spans="1:4" ht="15.75" x14ac:dyDescent="0.2">
      <c r="A44" s="192"/>
      <c r="B44" s="194"/>
      <c r="C44" s="194"/>
      <c r="D44" s="194"/>
    </row>
    <row r="45" spans="1:4" ht="15.75" x14ac:dyDescent="0.2">
      <c r="A45" s="192"/>
      <c r="B45" s="194"/>
      <c r="C45" s="194"/>
      <c r="D45" s="194"/>
    </row>
    <row r="46" spans="1:4" ht="15.75" x14ac:dyDescent="0.2">
      <c r="A46" s="192"/>
      <c r="B46" s="194"/>
      <c r="C46" s="194"/>
      <c r="D46" s="194"/>
    </row>
    <row r="47" spans="1:4" ht="15.75" x14ac:dyDescent="0.2">
      <c r="A47" s="192"/>
      <c r="B47" s="194"/>
      <c r="C47" s="194"/>
      <c r="D47" s="194"/>
    </row>
    <row r="48" spans="1:4" ht="15.75" x14ac:dyDescent="0.2">
      <c r="A48" s="192"/>
      <c r="B48" s="194"/>
      <c r="C48" s="194"/>
      <c r="D48" s="194"/>
    </row>
    <row r="49" spans="1:4" ht="15.75" x14ac:dyDescent="0.2">
      <c r="A49" s="192"/>
      <c r="B49" s="194"/>
      <c r="C49" s="194"/>
      <c r="D49" s="194"/>
    </row>
    <row r="50" spans="1:4" ht="15.75" x14ac:dyDescent="0.2">
      <c r="A50" s="192"/>
      <c r="B50" s="192"/>
      <c r="C50" s="192"/>
      <c r="D50" s="192"/>
    </row>
    <row r="51" spans="1:4" ht="15.75" x14ac:dyDescent="0.2">
      <c r="A51" s="192"/>
      <c r="B51" s="192"/>
      <c r="C51" s="192"/>
      <c r="D51" s="192"/>
    </row>
    <row r="52" spans="1:4" ht="15.75" x14ac:dyDescent="0.2">
      <c r="A52" s="192"/>
      <c r="B52" s="192"/>
      <c r="C52" s="192"/>
      <c r="D52" s="192"/>
    </row>
    <row r="53" spans="1:4" ht="15.75" x14ac:dyDescent="0.2">
      <c r="A53" s="192"/>
      <c r="B53" s="192"/>
      <c r="C53" s="192"/>
      <c r="D53" s="192"/>
    </row>
    <row r="54" spans="1:4" ht="15.75" x14ac:dyDescent="0.2">
      <c r="A54" s="192"/>
      <c r="B54" s="192"/>
      <c r="C54" s="192"/>
      <c r="D54" s="192"/>
    </row>
    <row r="55" spans="1:4" ht="15.75" x14ac:dyDescent="0.2">
      <c r="A55" s="192"/>
      <c r="B55" s="192"/>
      <c r="C55" s="192"/>
      <c r="D55" s="192"/>
    </row>
    <row r="56" spans="1:4" ht="15.75" x14ac:dyDescent="0.2">
      <c r="A56" s="192"/>
      <c r="B56" s="192"/>
      <c r="C56" s="192"/>
      <c r="D56" s="192"/>
    </row>
    <row r="57" spans="1:4" ht="15.75" x14ac:dyDescent="0.2">
      <c r="A57" s="192"/>
      <c r="B57" s="192"/>
      <c r="C57" s="192"/>
      <c r="D57" s="192"/>
    </row>
    <row r="58" spans="1:4" ht="15.75" x14ac:dyDescent="0.2">
      <c r="A58" s="192"/>
      <c r="B58" s="192"/>
      <c r="C58" s="192"/>
      <c r="D58" s="192"/>
    </row>
    <row r="59" spans="1:4" ht="15.75" x14ac:dyDescent="0.2">
      <c r="A59" s="192"/>
      <c r="B59" s="192"/>
      <c r="C59" s="192"/>
      <c r="D59" s="192"/>
    </row>
    <row r="60" spans="1:4" ht="15.75" x14ac:dyDescent="0.2">
      <c r="A60" s="192"/>
      <c r="B60" s="192"/>
      <c r="C60" s="192"/>
      <c r="D60" s="192"/>
    </row>
    <row r="61" spans="1:4" ht="15.75" x14ac:dyDescent="0.2">
      <c r="A61" s="192"/>
      <c r="B61" s="192"/>
      <c r="C61" s="192"/>
      <c r="D61" s="192"/>
    </row>
    <row r="62" spans="1:4" ht="15.75" x14ac:dyDescent="0.2">
      <c r="A62" s="192"/>
      <c r="B62" s="192"/>
      <c r="C62" s="192"/>
      <c r="D62" s="192"/>
    </row>
    <row r="63" spans="1:4" ht="15.75" x14ac:dyDescent="0.2">
      <c r="A63" s="192"/>
      <c r="B63" s="192"/>
      <c r="C63" s="192"/>
      <c r="D63" s="192"/>
    </row>
    <row r="64" spans="1:4" ht="15.75" x14ac:dyDescent="0.2">
      <c r="A64" s="192"/>
      <c r="B64" s="192"/>
      <c r="C64" s="192"/>
      <c r="D64" s="192"/>
    </row>
    <row r="65" spans="1:4" ht="15.75" x14ac:dyDescent="0.2">
      <c r="A65" s="192"/>
      <c r="B65" s="192"/>
      <c r="C65" s="192"/>
      <c r="D65" s="192"/>
    </row>
    <row r="66" spans="1:4" ht="15.75" x14ac:dyDescent="0.2">
      <c r="A66" s="192"/>
      <c r="B66" s="192"/>
      <c r="C66" s="192"/>
      <c r="D66" s="192"/>
    </row>
    <row r="67" spans="1:4" ht="15.75" x14ac:dyDescent="0.2">
      <c r="A67" s="192"/>
      <c r="B67" s="192"/>
      <c r="C67" s="192"/>
      <c r="D67" s="192"/>
    </row>
    <row r="68" spans="1:4" ht="15.75" x14ac:dyDescent="0.2">
      <c r="A68" s="192"/>
      <c r="B68" s="192"/>
      <c r="C68" s="192"/>
      <c r="D68" s="192"/>
    </row>
    <row r="69" spans="1:4" ht="15.75" x14ac:dyDescent="0.2">
      <c r="A69" s="192"/>
      <c r="B69" s="192"/>
      <c r="C69" s="192"/>
      <c r="D69" s="192"/>
    </row>
    <row r="70" spans="1:4" ht="15.75" x14ac:dyDescent="0.2">
      <c r="A70" s="192"/>
      <c r="B70" s="192"/>
      <c r="C70" s="192"/>
      <c r="D70" s="192"/>
    </row>
    <row r="71" spans="1:4" ht="15.75" x14ac:dyDescent="0.2">
      <c r="A71" s="192"/>
      <c r="B71" s="192"/>
      <c r="C71" s="192"/>
      <c r="D71" s="192"/>
    </row>
    <row r="72" spans="1:4" ht="15.75" x14ac:dyDescent="0.2">
      <c r="A72" s="192"/>
      <c r="B72" s="192"/>
      <c r="C72" s="192"/>
      <c r="D72" s="192"/>
    </row>
    <row r="73" spans="1:4" ht="15.75" x14ac:dyDescent="0.2">
      <c r="A73" s="192"/>
      <c r="B73" s="192"/>
      <c r="C73" s="192"/>
      <c r="D73" s="192"/>
    </row>
    <row r="74" spans="1:4" ht="15.75" x14ac:dyDescent="0.2">
      <c r="A74" s="192"/>
      <c r="B74" s="192"/>
      <c r="C74" s="192"/>
      <c r="D74" s="192"/>
    </row>
    <row r="75" spans="1:4" ht="15.75" x14ac:dyDescent="0.2">
      <c r="A75" s="192"/>
      <c r="B75" s="192"/>
      <c r="C75" s="192"/>
      <c r="D75" s="192"/>
    </row>
    <row r="76" spans="1:4" ht="15.75" x14ac:dyDescent="0.2">
      <c r="A76" s="192"/>
      <c r="B76" s="192"/>
      <c r="C76" s="192"/>
      <c r="D76" s="192"/>
    </row>
    <row r="77" spans="1:4" ht="15.75" x14ac:dyDescent="0.2">
      <c r="A77" s="192"/>
      <c r="B77" s="192"/>
      <c r="C77" s="192"/>
      <c r="D77" s="192"/>
    </row>
    <row r="78" spans="1:4" ht="15.75" x14ac:dyDescent="0.2">
      <c r="A78" s="192"/>
      <c r="B78" s="192"/>
      <c r="C78" s="192"/>
      <c r="D78" s="192"/>
    </row>
    <row r="79" spans="1:4" ht="15.75" x14ac:dyDescent="0.2">
      <c r="A79" s="192"/>
      <c r="B79" s="192"/>
      <c r="C79" s="192"/>
      <c r="D79" s="192"/>
    </row>
    <row r="80" spans="1:4" ht="15.75" x14ac:dyDescent="0.2">
      <c r="A80" s="192"/>
      <c r="B80" s="192"/>
      <c r="C80" s="192"/>
      <c r="D80" s="192"/>
    </row>
    <row r="81" spans="1:4" ht="15.75" x14ac:dyDescent="0.2">
      <c r="A81" s="192"/>
      <c r="B81" s="192"/>
      <c r="C81" s="192"/>
      <c r="D81" s="192"/>
    </row>
    <row r="82" spans="1:4" ht="15.75" x14ac:dyDescent="0.2">
      <c r="A82" s="192"/>
      <c r="B82" s="192"/>
      <c r="C82" s="192"/>
      <c r="D82" s="192"/>
    </row>
    <row r="83" spans="1:4" ht="15.75" x14ac:dyDescent="0.2">
      <c r="A83" s="192"/>
      <c r="B83" s="192"/>
      <c r="C83" s="192"/>
      <c r="D83" s="192"/>
    </row>
    <row r="84" spans="1:4" ht="15.75" x14ac:dyDescent="0.2">
      <c r="A84" s="192"/>
      <c r="B84" s="192"/>
      <c r="C84" s="192"/>
      <c r="D84" s="192"/>
    </row>
    <row r="85" spans="1:4" ht="15.75" x14ac:dyDescent="0.2">
      <c r="A85" s="192"/>
      <c r="B85" s="192"/>
      <c r="C85" s="192"/>
      <c r="D85" s="192"/>
    </row>
    <row r="86" spans="1:4" ht="15.75" x14ac:dyDescent="0.2">
      <c r="A86" s="192"/>
      <c r="B86" s="192"/>
      <c r="C86" s="192"/>
      <c r="D86" s="192"/>
    </row>
    <row r="87" spans="1:4" ht="15.75" x14ac:dyDescent="0.2">
      <c r="A87" s="192"/>
      <c r="B87" s="192"/>
      <c r="C87" s="192"/>
      <c r="D87" s="192"/>
    </row>
    <row r="88" spans="1:4" ht="15.75" x14ac:dyDescent="0.2">
      <c r="A88" s="192"/>
      <c r="B88" s="192"/>
      <c r="C88" s="192"/>
      <c r="D88" s="192"/>
    </row>
    <row r="89" spans="1:4" ht="15.75" x14ac:dyDescent="0.2">
      <c r="A89" s="192"/>
      <c r="B89" s="192"/>
      <c r="C89" s="192"/>
      <c r="D89" s="192"/>
    </row>
    <row r="90" spans="1:4" ht="15.75" x14ac:dyDescent="0.2">
      <c r="A90" s="192"/>
      <c r="B90" s="192"/>
      <c r="C90" s="192"/>
      <c r="D90" s="192"/>
    </row>
    <row r="91" spans="1:4" ht="15.75" x14ac:dyDescent="0.2">
      <c r="A91" s="192"/>
      <c r="B91" s="192"/>
      <c r="C91" s="192"/>
      <c r="D91" s="192"/>
    </row>
    <row r="92" spans="1:4" ht="15.75" x14ac:dyDescent="0.2">
      <c r="A92" s="192"/>
      <c r="B92" s="192"/>
      <c r="C92" s="192"/>
      <c r="D92" s="192"/>
    </row>
    <row r="93" spans="1:4" ht="15.75" x14ac:dyDescent="0.2">
      <c r="A93" s="192"/>
      <c r="B93" s="192"/>
      <c r="C93" s="192"/>
      <c r="D93" s="192"/>
    </row>
    <row r="94" spans="1:4" ht="15.75" x14ac:dyDescent="0.2">
      <c r="A94" s="192"/>
      <c r="B94" s="192"/>
      <c r="C94" s="192"/>
      <c r="D94" s="192"/>
    </row>
    <row r="95" spans="1:4" ht="15.75" x14ac:dyDescent="0.2">
      <c r="A95" s="192"/>
      <c r="B95" s="192"/>
      <c r="C95" s="192"/>
      <c r="D95" s="192"/>
    </row>
    <row r="96" spans="1:4" ht="15.75" x14ac:dyDescent="0.2">
      <c r="A96" s="192"/>
      <c r="B96" s="192"/>
      <c r="C96" s="192"/>
      <c r="D96" s="192"/>
    </row>
    <row r="97" spans="1:4" ht="15.75" x14ac:dyDescent="0.2">
      <c r="A97" s="192"/>
      <c r="B97" s="192"/>
      <c r="C97" s="192"/>
      <c r="D97" s="192"/>
    </row>
    <row r="98" spans="1:4" ht="15.75" x14ac:dyDescent="0.2">
      <c r="A98" s="192"/>
      <c r="B98" s="192"/>
      <c r="C98" s="192"/>
      <c r="D98" s="192"/>
    </row>
    <row r="99" spans="1:4" ht="15.75" x14ac:dyDescent="0.2">
      <c r="A99" s="192"/>
      <c r="B99" s="192"/>
      <c r="C99" s="192"/>
      <c r="D99" s="192"/>
    </row>
    <row r="100" spans="1:4" ht="15.75" x14ac:dyDescent="0.2">
      <c r="A100" s="192"/>
      <c r="B100" s="192"/>
      <c r="C100" s="192"/>
      <c r="D100" s="192"/>
    </row>
    <row r="101" spans="1:4" ht="15.75" x14ac:dyDescent="0.2">
      <c r="A101" s="192"/>
      <c r="B101" s="192"/>
      <c r="C101" s="192"/>
      <c r="D101" s="192"/>
    </row>
    <row r="102" spans="1:4" ht="15.75" x14ac:dyDescent="0.2">
      <c r="A102" s="192"/>
      <c r="B102" s="192"/>
      <c r="C102" s="192"/>
      <c r="D102" s="192"/>
    </row>
    <row r="103" spans="1:4" ht="15.75" x14ac:dyDescent="0.2">
      <c r="A103" s="192"/>
      <c r="B103" s="192"/>
      <c r="C103" s="192"/>
      <c r="D103" s="192"/>
    </row>
    <row r="104" spans="1:4" ht="15.75" x14ac:dyDescent="0.2">
      <c r="A104" s="192"/>
      <c r="B104" s="192"/>
      <c r="C104" s="192"/>
      <c r="D104" s="192"/>
    </row>
    <row r="105" spans="1:4" ht="15.75" x14ac:dyDescent="0.2">
      <c r="A105" s="192"/>
      <c r="B105" s="192"/>
      <c r="C105" s="192"/>
      <c r="D105" s="192"/>
    </row>
    <row r="106" spans="1:4" ht="15.75" x14ac:dyDescent="0.2">
      <c r="A106" s="192"/>
      <c r="B106" s="192"/>
      <c r="C106" s="192"/>
      <c r="D106" s="192"/>
    </row>
    <row r="107" spans="1:4" ht="15.75" x14ac:dyDescent="0.2">
      <c r="A107" s="192"/>
      <c r="B107" s="192"/>
      <c r="C107" s="192"/>
      <c r="D107" s="192"/>
    </row>
    <row r="108" spans="1:4" ht="15.75" x14ac:dyDescent="0.2">
      <c r="A108" s="192"/>
      <c r="B108" s="192"/>
      <c r="C108" s="192"/>
      <c r="D108" s="192"/>
    </row>
    <row r="109" spans="1:4" ht="15.75" x14ac:dyDescent="0.2">
      <c r="A109" s="192"/>
      <c r="B109" s="192"/>
      <c r="C109" s="192"/>
      <c r="D109" s="192"/>
    </row>
    <row r="110" spans="1:4" ht="15.75" x14ac:dyDescent="0.2">
      <c r="A110" s="192"/>
      <c r="B110" s="192"/>
      <c r="C110" s="192"/>
      <c r="D110" s="192"/>
    </row>
    <row r="111" spans="1:4" ht="15.75" x14ac:dyDescent="0.2">
      <c r="A111" s="192"/>
      <c r="B111" s="192"/>
      <c r="C111" s="192"/>
      <c r="D111" s="192"/>
    </row>
    <row r="112" spans="1:4" ht="15.75" x14ac:dyDescent="0.2">
      <c r="A112" s="192"/>
      <c r="B112" s="192"/>
      <c r="C112" s="192"/>
      <c r="D112" s="192"/>
    </row>
    <row r="113" spans="1:4" ht="15.75" x14ac:dyDescent="0.2">
      <c r="A113" s="192"/>
      <c r="B113" s="192"/>
      <c r="C113" s="192"/>
      <c r="D113" s="192"/>
    </row>
    <row r="114" spans="1:4" ht="15.75" x14ac:dyDescent="0.2">
      <c r="A114" s="192"/>
      <c r="B114" s="192"/>
      <c r="C114" s="192"/>
      <c r="D114" s="192"/>
    </row>
    <row r="115" spans="1:4" ht="15.75" x14ac:dyDescent="0.2">
      <c r="A115" s="192"/>
      <c r="B115" s="192"/>
      <c r="C115" s="192"/>
      <c r="D115" s="192"/>
    </row>
    <row r="116" spans="1:4" ht="15.75" x14ac:dyDescent="0.2">
      <c r="A116" s="192"/>
      <c r="B116" s="192"/>
      <c r="C116" s="192"/>
      <c r="D116" s="192"/>
    </row>
    <row r="117" spans="1:4" ht="15.75" x14ac:dyDescent="0.2">
      <c r="A117" s="192"/>
      <c r="B117" s="192"/>
      <c r="C117" s="192"/>
      <c r="D117" s="192"/>
    </row>
    <row r="118" spans="1:4" ht="15.75" x14ac:dyDescent="0.2">
      <c r="A118" s="192"/>
      <c r="B118" s="192"/>
      <c r="C118" s="192"/>
      <c r="D118" s="192"/>
    </row>
    <row r="119" spans="1:4" ht="15.75" x14ac:dyDescent="0.2">
      <c r="A119" s="192"/>
      <c r="B119" s="192"/>
      <c r="C119" s="192"/>
      <c r="D119" s="192"/>
    </row>
    <row r="120" spans="1:4" ht="15.75" x14ac:dyDescent="0.2">
      <c r="A120" s="192"/>
      <c r="B120" s="192"/>
      <c r="C120" s="192"/>
      <c r="D120" s="192"/>
    </row>
    <row r="121" spans="1:4" ht="15.75" x14ac:dyDescent="0.2">
      <c r="A121" s="192"/>
      <c r="B121" s="192"/>
      <c r="C121" s="192"/>
      <c r="D121" s="192"/>
    </row>
    <row r="122" spans="1:4" ht="15.75" x14ac:dyDescent="0.2">
      <c r="A122" s="192"/>
      <c r="B122" s="192"/>
      <c r="C122" s="192"/>
      <c r="D122" s="192"/>
    </row>
    <row r="123" spans="1:4" ht="15.75" x14ac:dyDescent="0.2">
      <c r="A123" s="192"/>
      <c r="B123" s="192"/>
      <c r="C123" s="192"/>
      <c r="D123" s="192"/>
    </row>
    <row r="124" spans="1:4" ht="15.75" x14ac:dyDescent="0.2">
      <c r="A124" s="192"/>
      <c r="B124" s="192"/>
      <c r="C124" s="192"/>
      <c r="D124" s="192"/>
    </row>
    <row r="125" spans="1:4" ht="15.75" x14ac:dyDescent="0.2">
      <c r="A125" s="192"/>
      <c r="B125" s="192"/>
      <c r="C125" s="192"/>
      <c r="D125" s="192"/>
    </row>
    <row r="126" spans="1:4" ht="15.75" x14ac:dyDescent="0.2">
      <c r="A126" s="192"/>
      <c r="B126" s="192"/>
      <c r="C126" s="192"/>
      <c r="D126" s="192"/>
    </row>
    <row r="127" spans="1:4" ht="15.75" x14ac:dyDescent="0.2">
      <c r="A127" s="192"/>
      <c r="B127" s="192"/>
      <c r="C127" s="192"/>
      <c r="D127" s="192"/>
    </row>
    <row r="128" spans="1:4" ht="15.75" x14ac:dyDescent="0.2">
      <c r="A128" s="192"/>
      <c r="B128" s="192"/>
      <c r="C128" s="192"/>
      <c r="D128" s="192"/>
    </row>
    <row r="129" spans="1:4" ht="15.75" x14ac:dyDescent="0.2">
      <c r="A129" s="192"/>
      <c r="B129" s="192"/>
      <c r="C129" s="192"/>
      <c r="D129" s="192"/>
    </row>
    <row r="130" spans="1:4" ht="15.75" x14ac:dyDescent="0.2">
      <c r="A130" s="192"/>
      <c r="B130" s="192"/>
      <c r="C130" s="192"/>
      <c r="D130" s="192"/>
    </row>
    <row r="131" spans="1:4" ht="15.75" x14ac:dyDescent="0.2">
      <c r="A131" s="192"/>
      <c r="B131" s="192"/>
      <c r="C131" s="192"/>
      <c r="D131" s="192"/>
    </row>
    <row r="132" spans="1:4" ht="15.75" x14ac:dyDescent="0.2">
      <c r="A132" s="192"/>
      <c r="B132" s="192"/>
      <c r="C132" s="192"/>
      <c r="D132" s="192"/>
    </row>
    <row r="133" spans="1:4" ht="15.75" x14ac:dyDescent="0.2">
      <c r="A133" s="192"/>
      <c r="B133" s="192"/>
      <c r="C133" s="192"/>
      <c r="D133" s="192"/>
    </row>
    <row r="134" spans="1:4" ht="15.75" x14ac:dyDescent="0.2">
      <c r="A134" s="192"/>
      <c r="B134" s="192"/>
      <c r="C134" s="192"/>
      <c r="D134" s="192"/>
    </row>
    <row r="135" spans="1:4" ht="15.75" x14ac:dyDescent="0.2">
      <c r="A135" s="192"/>
      <c r="B135" s="192"/>
      <c r="C135" s="192"/>
      <c r="D135" s="192"/>
    </row>
    <row r="136" spans="1:4" ht="15.75" x14ac:dyDescent="0.2">
      <c r="A136" s="192"/>
      <c r="B136" s="192"/>
      <c r="C136" s="192"/>
      <c r="D136" s="192"/>
    </row>
    <row r="137" spans="1:4" ht="15.75" x14ac:dyDescent="0.2">
      <c r="A137" s="192"/>
      <c r="B137" s="192"/>
      <c r="C137" s="192"/>
      <c r="D137" s="192"/>
    </row>
    <row r="138" spans="1:4" ht="15.75" x14ac:dyDescent="0.2">
      <c r="A138" s="192"/>
      <c r="B138" s="192"/>
      <c r="C138" s="192"/>
      <c r="D138" s="192"/>
    </row>
    <row r="139" spans="1:4" ht="15.75" x14ac:dyDescent="0.2">
      <c r="A139" s="192"/>
      <c r="B139" s="192"/>
      <c r="C139" s="192"/>
      <c r="D139" s="192"/>
    </row>
    <row r="140" spans="1:4" ht="15.75" x14ac:dyDescent="0.2">
      <c r="A140" s="192"/>
      <c r="B140" s="192"/>
      <c r="C140" s="192"/>
      <c r="D140" s="192"/>
    </row>
    <row r="141" spans="1:4" ht="15.75" x14ac:dyDescent="0.2">
      <c r="A141" s="192"/>
      <c r="B141" s="192"/>
      <c r="C141" s="192"/>
      <c r="D141" s="192"/>
    </row>
    <row r="142" spans="1:4" ht="15.75" x14ac:dyDescent="0.2">
      <c r="A142" s="192"/>
      <c r="B142" s="192"/>
      <c r="C142" s="192"/>
      <c r="D142" s="192"/>
    </row>
    <row r="143" spans="1:4" ht="15.75" x14ac:dyDescent="0.2">
      <c r="A143" s="192"/>
      <c r="B143" s="192"/>
      <c r="C143" s="192"/>
      <c r="D143" s="192"/>
    </row>
    <row r="144" spans="1:4" ht="15.75" x14ac:dyDescent="0.2">
      <c r="A144" s="192"/>
      <c r="B144" s="192"/>
      <c r="C144" s="192"/>
      <c r="D144" s="192"/>
    </row>
    <row r="145" spans="1:4" ht="15.75" x14ac:dyDescent="0.2">
      <c r="A145" s="192"/>
      <c r="B145" s="192"/>
      <c r="C145" s="192"/>
      <c r="D145" s="192"/>
    </row>
    <row r="146" spans="1:4" ht="15.75" x14ac:dyDescent="0.2">
      <c r="A146" s="192"/>
      <c r="B146" s="192"/>
      <c r="C146" s="192"/>
      <c r="D146" s="192"/>
    </row>
    <row r="147" spans="1:4" ht="15.75" x14ac:dyDescent="0.2">
      <c r="A147" s="192"/>
      <c r="B147" s="192"/>
      <c r="C147" s="192"/>
      <c r="D147" s="192"/>
    </row>
    <row r="148" spans="1:4" ht="15.75" x14ac:dyDescent="0.2">
      <c r="A148" s="192"/>
      <c r="B148" s="192"/>
      <c r="C148" s="192"/>
      <c r="D148" s="192"/>
    </row>
    <row r="149" spans="1:4" ht="15.75" x14ac:dyDescent="0.2">
      <c r="A149" s="192"/>
      <c r="B149" s="192"/>
      <c r="C149" s="192"/>
      <c r="D149" s="192"/>
    </row>
    <row r="150" spans="1:4" ht="15.75" x14ac:dyDescent="0.2">
      <c r="A150" s="192"/>
      <c r="B150" s="192"/>
      <c r="C150" s="192"/>
      <c r="D150" s="192"/>
    </row>
    <row r="151" spans="1:4" ht="15.75" x14ac:dyDescent="0.2">
      <c r="A151" s="192"/>
      <c r="B151" s="192"/>
      <c r="C151" s="192"/>
      <c r="D151" s="192"/>
    </row>
    <row r="152" spans="1:4" ht="15.75" x14ac:dyDescent="0.2">
      <c r="A152" s="192"/>
      <c r="B152" s="192"/>
      <c r="C152" s="192"/>
      <c r="D152" s="192"/>
    </row>
    <row r="153" spans="1:4" ht="15.75" x14ac:dyDescent="0.2">
      <c r="A153" s="192"/>
      <c r="B153" s="192"/>
      <c r="C153" s="192"/>
      <c r="D153" s="192"/>
    </row>
    <row r="154" spans="1:4" ht="15.75" x14ac:dyDescent="0.2">
      <c r="A154" s="192"/>
      <c r="B154" s="192"/>
      <c r="C154" s="192"/>
      <c r="D154" s="192"/>
    </row>
    <row r="155" spans="1:4" ht="15.75" x14ac:dyDescent="0.2">
      <c r="A155" s="192"/>
      <c r="B155" s="192"/>
      <c r="C155" s="192"/>
      <c r="D155" s="192"/>
    </row>
  </sheetData>
  <mergeCells count="19">
    <mergeCell ref="A2:D3"/>
    <mergeCell ref="A5:C6"/>
    <mergeCell ref="A7:D7"/>
    <mergeCell ref="A10:D12"/>
    <mergeCell ref="A13:D13"/>
    <mergeCell ref="A19:D19"/>
    <mergeCell ref="A21:D21"/>
    <mergeCell ref="B41:D41"/>
    <mergeCell ref="A26:D26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B40:D40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13"/>
  <sheetViews>
    <sheetView showGridLines="0" tabSelected="1" view="pageBreakPreview" topLeftCell="C1" zoomScaleNormal="100" zoomScaleSheetLayoutView="100" workbookViewId="0">
      <pane xSplit="2" ySplit="12" topLeftCell="E13" activePane="bottomRight" state="frozen"/>
      <selection activeCell="C1" sqref="C1"/>
      <selection pane="topRight" activeCell="E1" sqref="E1"/>
      <selection pane="bottomLeft" activeCell="C13" sqref="C13"/>
      <selection pane="bottomRight" activeCell="E13" sqref="E13"/>
    </sheetView>
  </sheetViews>
  <sheetFormatPr defaultColWidth="9" defaultRowHeight="12" x14ac:dyDescent="0.2"/>
  <cols>
    <col min="1" max="1" width="15.33203125" style="1" customWidth="1"/>
    <col min="2" max="2" width="14.83203125" style="8" customWidth="1"/>
    <col min="3" max="3" width="95.33203125" style="1" customWidth="1"/>
    <col min="4" max="4" width="6.6640625" style="7" customWidth="1"/>
    <col min="5" max="5" width="20.33203125" style="3" customWidth="1"/>
    <col min="6" max="6" width="17" style="3" customWidth="1"/>
    <col min="7" max="7" width="14.33203125" style="3" customWidth="1"/>
    <col min="8" max="8" width="17.5" style="3" customWidth="1"/>
    <col min="9" max="9" width="13" style="3" customWidth="1"/>
    <col min="10" max="10" width="14.6640625" style="4" hidden="1" customWidth="1"/>
    <col min="11" max="11" width="14.6640625" style="2" customWidth="1"/>
    <col min="12" max="12" width="20.6640625" style="1" customWidth="1"/>
    <col min="13" max="13" width="19.83203125" style="1" customWidth="1"/>
    <col min="14" max="14" width="20" style="1" customWidth="1"/>
    <col min="15" max="15" width="19.6640625" style="1" customWidth="1"/>
    <col min="16" max="16" width="26.1640625" style="1" customWidth="1"/>
    <col min="17" max="18" width="14.33203125" style="1" customWidth="1"/>
    <col min="19" max="19" width="13.1640625" style="1" customWidth="1"/>
    <col min="20" max="20" width="27.1640625" style="1" hidden="1" customWidth="1"/>
    <col min="21" max="21" width="16.5" style="1" hidden="1" customWidth="1"/>
    <col min="22" max="22" width="13.83203125" style="1" hidden="1" customWidth="1"/>
    <col min="23" max="23" width="0" style="1" hidden="1" customWidth="1"/>
    <col min="24" max="24" width="9" style="1"/>
    <col min="25" max="25" width="9.33203125" style="1" bestFit="1" customWidth="1"/>
    <col min="26" max="16384" width="9" style="1"/>
  </cols>
  <sheetData>
    <row r="1" spans="1:25" s="10" customFormat="1" ht="12.75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7"/>
    </row>
    <row r="2" spans="1:25" s="10" customFormat="1" ht="12.75" x14ac:dyDescent="0.2">
      <c r="A2" s="221" t="s">
        <v>93</v>
      </c>
      <c r="B2" s="222"/>
      <c r="C2" s="222"/>
      <c r="D2" s="18"/>
      <c r="E2" s="19"/>
      <c r="F2" s="19"/>
      <c r="G2" s="19"/>
      <c r="H2" s="19"/>
      <c r="I2" s="19"/>
      <c r="J2" s="12"/>
      <c r="S2" s="20"/>
    </row>
    <row r="3" spans="1:25" s="10" customFormat="1" ht="12.75" x14ac:dyDescent="0.2">
      <c r="A3" s="221"/>
      <c r="B3" s="222"/>
      <c r="C3" s="222"/>
      <c r="D3" s="18"/>
      <c r="E3" s="19"/>
      <c r="F3" s="19"/>
      <c r="G3" s="19"/>
      <c r="H3" s="19"/>
      <c r="I3" s="19"/>
      <c r="J3" s="12"/>
      <c r="S3" s="20"/>
    </row>
    <row r="4" spans="1:25" s="10" customFormat="1" ht="12.75" x14ac:dyDescent="0.2">
      <c r="A4" s="21"/>
      <c r="B4" s="22"/>
      <c r="C4" s="23"/>
      <c r="D4" s="22"/>
      <c r="E4" s="24"/>
      <c r="F4" s="24"/>
      <c r="G4" s="24"/>
      <c r="H4" s="24"/>
      <c r="I4" s="24"/>
      <c r="J4" s="12"/>
      <c r="S4" s="20"/>
    </row>
    <row r="5" spans="1:25" s="10" customFormat="1" ht="27.95" customHeight="1" x14ac:dyDescent="0.2">
      <c r="A5" s="221" t="s">
        <v>95</v>
      </c>
      <c r="B5" s="222"/>
      <c r="C5" s="222"/>
      <c r="D5" s="222"/>
      <c r="E5" s="222"/>
      <c r="F5" s="222"/>
      <c r="G5" s="222"/>
      <c r="H5" s="222"/>
      <c r="I5" s="222"/>
      <c r="J5" s="222"/>
      <c r="S5" s="20"/>
    </row>
    <row r="6" spans="1:25" s="10" customFormat="1" ht="12.75" x14ac:dyDescent="0.2">
      <c r="A6" s="25"/>
      <c r="D6" s="22"/>
      <c r="E6" s="24"/>
      <c r="F6" s="24"/>
      <c r="G6" s="24"/>
      <c r="H6" s="24"/>
      <c r="I6" s="24"/>
      <c r="J6" s="12"/>
      <c r="S6" s="20"/>
    </row>
    <row r="7" spans="1:25" s="10" customFormat="1" ht="15.75" x14ac:dyDescent="0.2">
      <c r="A7" s="232" t="s">
        <v>454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52"/>
    </row>
    <row r="8" spans="1:25" s="10" customFormat="1" ht="12.75" x14ac:dyDescent="0.2">
      <c r="A8" s="26" t="s">
        <v>91</v>
      </c>
      <c r="B8" s="14" t="s">
        <v>94</v>
      </c>
      <c r="C8" s="11"/>
      <c r="D8" s="11"/>
      <c r="E8" s="89" t="s">
        <v>457</v>
      </c>
      <c r="F8" s="87">
        <v>11</v>
      </c>
      <c r="G8" s="12"/>
      <c r="H8" s="12"/>
      <c r="I8" s="12"/>
      <c r="J8" s="13"/>
      <c r="S8" s="27"/>
    </row>
    <row r="9" spans="1:25" s="10" customFormat="1" ht="12.75" x14ac:dyDescent="0.2">
      <c r="A9" s="28" t="s">
        <v>455</v>
      </c>
      <c r="B9" s="29" t="s">
        <v>456</v>
      </c>
      <c r="C9" s="29"/>
      <c r="D9" s="29"/>
      <c r="E9" s="88" t="s">
        <v>458</v>
      </c>
      <c r="F9" s="90" t="s">
        <v>745</v>
      </c>
      <c r="G9" s="29"/>
      <c r="H9" s="29"/>
      <c r="I9" s="29"/>
      <c r="J9" s="30"/>
      <c r="K9" s="30"/>
      <c r="L9" s="30"/>
      <c r="M9" s="30"/>
      <c r="N9" s="30"/>
      <c r="O9" s="30"/>
      <c r="P9" s="30"/>
      <c r="Q9" s="30"/>
      <c r="R9" s="30"/>
      <c r="S9" s="31"/>
    </row>
    <row r="10" spans="1:25" s="10" customFormat="1" ht="12.75" x14ac:dyDescent="0.2">
      <c r="A10" s="234" t="s">
        <v>15</v>
      </c>
      <c r="B10" s="234" t="s">
        <v>90</v>
      </c>
      <c r="C10" s="234" t="s">
        <v>16</v>
      </c>
      <c r="D10" s="234" t="s">
        <v>17</v>
      </c>
      <c r="E10" s="235" t="s">
        <v>451</v>
      </c>
      <c r="F10" s="235"/>
      <c r="G10" s="235"/>
      <c r="H10" s="235"/>
      <c r="I10" s="235"/>
      <c r="J10" s="30"/>
      <c r="K10" s="262" t="s">
        <v>452</v>
      </c>
      <c r="L10" s="263" t="s">
        <v>453</v>
      </c>
      <c r="M10" s="263"/>
      <c r="N10" s="263"/>
      <c r="O10" s="263"/>
      <c r="P10" s="263"/>
      <c r="Q10" s="257" t="s">
        <v>483</v>
      </c>
      <c r="R10" s="258"/>
      <c r="S10" s="259"/>
      <c r="U10" s="223" t="s">
        <v>459</v>
      </c>
      <c r="V10" s="224"/>
    </row>
    <row r="11" spans="1:25" ht="42" customHeight="1" x14ac:dyDescent="0.2">
      <c r="A11" s="234"/>
      <c r="B11" s="234"/>
      <c r="C11" s="234"/>
      <c r="D11" s="234"/>
      <c r="E11" s="32" t="s">
        <v>446</v>
      </c>
      <c r="F11" s="32" t="s">
        <v>447</v>
      </c>
      <c r="G11" s="32" t="s">
        <v>448</v>
      </c>
      <c r="H11" s="32" t="s">
        <v>449</v>
      </c>
      <c r="I11" s="32" t="s">
        <v>450</v>
      </c>
      <c r="J11" s="46" t="s">
        <v>88</v>
      </c>
      <c r="K11" s="262"/>
      <c r="L11" s="47" t="s">
        <v>446</v>
      </c>
      <c r="M11" s="32" t="s">
        <v>447</v>
      </c>
      <c r="N11" s="32" t="s">
        <v>448</v>
      </c>
      <c r="O11" s="32" t="s">
        <v>449</v>
      </c>
      <c r="P11" s="32" t="s">
        <v>450</v>
      </c>
      <c r="Q11" s="91" t="s">
        <v>481</v>
      </c>
      <c r="R11" s="91" t="s">
        <v>480</v>
      </c>
      <c r="S11" s="91" t="s">
        <v>482</v>
      </c>
      <c r="T11" s="9"/>
      <c r="U11" s="1" t="s">
        <v>10</v>
      </c>
      <c r="V11" s="1" t="s">
        <v>453</v>
      </c>
    </row>
    <row r="12" spans="1:25" ht="19.5" customHeight="1" x14ac:dyDescent="0.2">
      <c r="A12" s="32"/>
      <c r="B12" s="32"/>
      <c r="C12" s="32"/>
      <c r="D12" s="32"/>
      <c r="E12" s="32"/>
      <c r="F12" s="32"/>
      <c r="G12" s="32"/>
      <c r="H12" s="32"/>
      <c r="I12" s="32"/>
      <c r="J12" s="46"/>
      <c r="K12" s="91"/>
      <c r="L12" s="98">
        <f>L207</f>
        <v>12288206.050000001</v>
      </c>
      <c r="M12" s="98">
        <f t="shared" ref="M12:P12" si="0">M207</f>
        <v>5136667.5599999987</v>
      </c>
      <c r="N12" s="98" t="e">
        <f t="shared" si="0"/>
        <v>#REF!</v>
      </c>
      <c r="O12" s="98" t="e">
        <f t="shared" si="0"/>
        <v>#REF!</v>
      </c>
      <c r="P12" s="98" t="e">
        <f t="shared" si="0"/>
        <v>#REF!</v>
      </c>
      <c r="Q12" s="98" t="e">
        <f>N12/L12*100</f>
        <v>#REF!</v>
      </c>
      <c r="R12" s="98" t="e">
        <f>O12/L12*100</f>
        <v>#REF!</v>
      </c>
      <c r="S12" s="98" t="e">
        <f>P12/L12*100</f>
        <v>#REF!</v>
      </c>
      <c r="T12" s="9"/>
      <c r="Y12" s="219" t="e">
        <f>O12/L12</f>
        <v>#REF!</v>
      </c>
    </row>
    <row r="13" spans="1:25" customFormat="1" ht="12.75" x14ac:dyDescent="0.2">
      <c r="A13" s="55" t="s">
        <v>18</v>
      </c>
      <c r="B13" s="56"/>
      <c r="C13" s="55" t="s">
        <v>11</v>
      </c>
      <c r="D13" s="57"/>
      <c r="E13" s="57"/>
      <c r="F13" s="57"/>
      <c r="G13" s="57"/>
      <c r="H13" s="57"/>
      <c r="I13" s="57"/>
      <c r="J13" s="58" t="s">
        <v>445</v>
      </c>
      <c r="K13" s="59"/>
      <c r="L13" s="83">
        <f>L14+L16+L21</f>
        <v>55951.119999999995</v>
      </c>
      <c r="M13" s="83">
        <f t="shared" ref="M13:P13" si="1">M14+M16+M21</f>
        <v>46445.45</v>
      </c>
      <c r="N13" s="83">
        <f t="shared" si="1"/>
        <v>0</v>
      </c>
      <c r="O13" s="83">
        <f t="shared" si="1"/>
        <v>46445.45</v>
      </c>
      <c r="P13" s="60">
        <f t="shared" si="1"/>
        <v>9505.67</v>
      </c>
      <c r="Q13" s="60">
        <f t="shared" ref="Q13:Q22" si="2">N13/L13*100</f>
        <v>0</v>
      </c>
      <c r="R13" s="60">
        <f t="shared" ref="R13:R22" si="3">O13/L13*100</f>
        <v>83.010760106321385</v>
      </c>
      <c r="S13" s="61">
        <f t="shared" ref="S13:S22" si="4">P13/L13*100</f>
        <v>16.989239893678626</v>
      </c>
      <c r="T13" s="33">
        <f>L13-P13</f>
        <v>46445.45</v>
      </c>
      <c r="Y13" s="219">
        <f t="shared" ref="Y13:Y76" si="5">O13/L13</f>
        <v>0.8301076010632138</v>
      </c>
    </row>
    <row r="14" spans="1:25" customFormat="1" ht="12.75" x14ac:dyDescent="0.2">
      <c r="A14" s="48" t="s">
        <v>19</v>
      </c>
      <c r="B14" s="49"/>
      <c r="C14" s="48" t="s">
        <v>96</v>
      </c>
      <c r="D14" s="50"/>
      <c r="E14" s="50"/>
      <c r="F14" s="50"/>
      <c r="G14" s="50"/>
      <c r="H14" s="50"/>
      <c r="I14" s="50"/>
      <c r="J14" s="51" t="s">
        <v>445</v>
      </c>
      <c r="K14" s="52"/>
      <c r="L14" s="84">
        <f>L15</f>
        <v>17424.8</v>
      </c>
      <c r="M14" s="84">
        <f t="shared" ref="M14:P14" si="6">M15</f>
        <v>17424.8</v>
      </c>
      <c r="N14" s="84">
        <f t="shared" si="6"/>
        <v>0</v>
      </c>
      <c r="O14" s="84">
        <f t="shared" si="6"/>
        <v>17424.8</v>
      </c>
      <c r="P14" s="53">
        <f t="shared" si="6"/>
        <v>0</v>
      </c>
      <c r="Q14" s="53">
        <f t="shared" si="2"/>
        <v>0</v>
      </c>
      <c r="R14" s="53">
        <f t="shared" si="3"/>
        <v>100</v>
      </c>
      <c r="S14" s="54">
        <f t="shared" si="4"/>
        <v>0</v>
      </c>
      <c r="T14" s="33">
        <f t="shared" ref="T14:T77" si="7">L14-P14</f>
        <v>17424.8</v>
      </c>
      <c r="Y14" s="219">
        <f t="shared" si="5"/>
        <v>1</v>
      </c>
    </row>
    <row r="15" spans="1:25" customFormat="1" ht="12.75" x14ac:dyDescent="0.2">
      <c r="A15" s="37" t="s">
        <v>20</v>
      </c>
      <c r="B15" s="38" t="s">
        <v>97</v>
      </c>
      <c r="C15" s="37" t="s">
        <v>98</v>
      </c>
      <c r="D15" s="39" t="s">
        <v>29</v>
      </c>
      <c r="E15" s="78">
        <v>40</v>
      </c>
      <c r="F15" s="45">
        <v>40</v>
      </c>
      <c r="G15" s="45"/>
      <c r="H15" s="45">
        <f>F15+G15</f>
        <v>40</v>
      </c>
      <c r="I15" s="44">
        <f>ROUND(E15-H15,2)</f>
        <v>0</v>
      </c>
      <c r="J15" s="44">
        <v>356.75</v>
      </c>
      <c r="K15" s="40">
        <v>435.62</v>
      </c>
      <c r="L15" s="82">
        <f>TRUNC(E15*K15,2)</f>
        <v>17424.8</v>
      </c>
      <c r="M15" s="82">
        <f>ROUND(F15*$K15,2)</f>
        <v>17424.8</v>
      </c>
      <c r="N15" s="82">
        <f>ROUND(G15*$K15,2)</f>
        <v>0</v>
      </c>
      <c r="O15" s="82">
        <f>ROUND(H15*$K15,2)</f>
        <v>17424.8</v>
      </c>
      <c r="P15" s="82">
        <f>ROUND(I15*$K15,2)</f>
        <v>0</v>
      </c>
      <c r="Q15" s="82">
        <f t="shared" si="2"/>
        <v>0</v>
      </c>
      <c r="R15" s="82">
        <f t="shared" si="3"/>
        <v>100</v>
      </c>
      <c r="S15" s="36">
        <f t="shared" si="4"/>
        <v>0</v>
      </c>
      <c r="T15" s="33">
        <f t="shared" si="7"/>
        <v>17424.8</v>
      </c>
      <c r="Y15" s="219">
        <f t="shared" si="5"/>
        <v>1</v>
      </c>
    </row>
    <row r="16" spans="1:25" customFormat="1" ht="12.75" x14ac:dyDescent="0.2">
      <c r="A16" s="48" t="s">
        <v>23</v>
      </c>
      <c r="B16" s="49"/>
      <c r="C16" s="48" t="s">
        <v>99</v>
      </c>
      <c r="D16" s="50"/>
      <c r="E16" s="79" t="s">
        <v>445</v>
      </c>
      <c r="F16" s="66"/>
      <c r="G16" s="66"/>
      <c r="H16" s="66"/>
      <c r="I16" s="66"/>
      <c r="J16" s="67" t="s">
        <v>445</v>
      </c>
      <c r="K16" s="52"/>
      <c r="L16" s="84">
        <f>SUM(L17:L20)</f>
        <v>30835.65</v>
      </c>
      <c r="M16" s="84">
        <f t="shared" ref="M16:P16" si="8">SUM(M17:M20)</f>
        <v>29020.65</v>
      </c>
      <c r="N16" s="84">
        <f t="shared" si="8"/>
        <v>0</v>
      </c>
      <c r="O16" s="84">
        <f>SUM(O17:O20)</f>
        <v>29020.65</v>
      </c>
      <c r="P16" s="84">
        <f t="shared" si="8"/>
        <v>1815</v>
      </c>
      <c r="Q16" s="84">
        <f t="shared" si="2"/>
        <v>0</v>
      </c>
      <c r="R16" s="84">
        <f t="shared" si="3"/>
        <v>94.113955762242725</v>
      </c>
      <c r="S16" s="54">
        <f t="shared" si="4"/>
        <v>5.8860442377572708</v>
      </c>
      <c r="T16" s="33">
        <f t="shared" si="7"/>
        <v>29020.65</v>
      </c>
      <c r="Y16" s="219">
        <f t="shared" si="5"/>
        <v>0.94113955762242729</v>
      </c>
    </row>
    <row r="17" spans="1:25" customFormat="1" ht="25.5" x14ac:dyDescent="0.2">
      <c r="A17" s="37" t="s">
        <v>24</v>
      </c>
      <c r="B17" s="38" t="s">
        <v>100</v>
      </c>
      <c r="C17" s="37" t="s">
        <v>101</v>
      </c>
      <c r="D17" s="39" t="s">
        <v>29</v>
      </c>
      <c r="E17" s="78">
        <v>30</v>
      </c>
      <c r="F17" s="45">
        <v>30</v>
      </c>
      <c r="G17" s="45"/>
      <c r="H17" s="45">
        <f>F17+G17</f>
        <v>30</v>
      </c>
      <c r="I17" s="44">
        <f>ROUND(E17-H17,2)</f>
        <v>0</v>
      </c>
      <c r="J17" s="44">
        <v>448.11</v>
      </c>
      <c r="K17" s="40">
        <f t="shared" ref="K17:K20" si="9">TRUNC(J17*1.2211,2)</f>
        <v>547.17999999999995</v>
      </c>
      <c r="L17" s="82">
        <f>TRUNC(E17*K17,2)</f>
        <v>16415.400000000001</v>
      </c>
      <c r="M17" s="82">
        <f>ROUND(F17*$K17,2)</f>
        <v>16415.400000000001</v>
      </c>
      <c r="N17" s="82">
        <f>ROUND(G17*$K17,2)</f>
        <v>0</v>
      </c>
      <c r="O17" s="82">
        <f>ROUND(H17*$K17,2)</f>
        <v>16415.400000000001</v>
      </c>
      <c r="P17" s="82">
        <f>ROUND(I17*$K17,2)</f>
        <v>0</v>
      </c>
      <c r="Q17" s="82">
        <f t="shared" si="2"/>
        <v>0</v>
      </c>
      <c r="R17" s="82">
        <f t="shared" si="3"/>
        <v>100</v>
      </c>
      <c r="S17" s="36">
        <f t="shared" si="4"/>
        <v>0</v>
      </c>
      <c r="T17" s="33">
        <f t="shared" si="7"/>
        <v>16415.400000000001</v>
      </c>
      <c r="Y17" s="219">
        <f t="shared" si="5"/>
        <v>1</v>
      </c>
    </row>
    <row r="18" spans="1:25" s="130" customFormat="1" ht="25.5" x14ac:dyDescent="0.2">
      <c r="A18" s="37" t="s">
        <v>25</v>
      </c>
      <c r="B18" s="38" t="s">
        <v>102</v>
      </c>
      <c r="C18" s="37" t="s">
        <v>103</v>
      </c>
      <c r="D18" s="39" t="s">
        <v>22</v>
      </c>
      <c r="E18" s="123">
        <v>45</v>
      </c>
      <c r="F18" s="124">
        <v>45</v>
      </c>
      <c r="G18" s="124"/>
      <c r="H18" s="124">
        <f t="shared" ref="H18:H20" si="10">F18+G18</f>
        <v>45</v>
      </c>
      <c r="I18" s="125">
        <f t="shared" ref="I18:I20" si="11">ROUND(E18-H18,2)</f>
        <v>0</v>
      </c>
      <c r="J18" s="125">
        <v>180.54</v>
      </c>
      <c r="K18" s="126">
        <f t="shared" si="9"/>
        <v>220.45</v>
      </c>
      <c r="L18" s="127">
        <f>TRUNC(E18*K18,2)</f>
        <v>9920.25</v>
      </c>
      <c r="M18" s="127">
        <f t="shared" ref="M18:M20" si="12">ROUND(F18*$K18,2)</f>
        <v>9920.25</v>
      </c>
      <c r="N18" s="127">
        <f t="shared" ref="N18:N20" si="13">ROUND(G18*$K18,2)</f>
        <v>0</v>
      </c>
      <c r="O18" s="127">
        <f t="shared" ref="O18:O20" si="14">ROUND(H18*$K18,2)</f>
        <v>9920.25</v>
      </c>
      <c r="P18" s="127">
        <f t="shared" ref="P18:P22" si="15">ROUND(I18*$K18,2)</f>
        <v>0</v>
      </c>
      <c r="Q18" s="127">
        <f t="shared" si="2"/>
        <v>0</v>
      </c>
      <c r="R18" s="127">
        <f t="shared" si="3"/>
        <v>100</v>
      </c>
      <c r="S18" s="128">
        <f t="shared" si="4"/>
        <v>0</v>
      </c>
      <c r="T18" s="113">
        <f t="shared" si="7"/>
        <v>9920.25</v>
      </c>
      <c r="Y18" s="219">
        <f t="shared" si="5"/>
        <v>1</v>
      </c>
    </row>
    <row r="19" spans="1:25" s="114" customFormat="1" ht="12.75" x14ac:dyDescent="0.2">
      <c r="A19" s="37" t="s">
        <v>26</v>
      </c>
      <c r="B19" s="38" t="s">
        <v>104</v>
      </c>
      <c r="C19" s="37" t="s">
        <v>78</v>
      </c>
      <c r="D19" s="39" t="s">
        <v>37</v>
      </c>
      <c r="E19" s="123">
        <v>500</v>
      </c>
      <c r="F19" s="124">
        <v>500</v>
      </c>
      <c r="G19" s="124"/>
      <c r="H19" s="124">
        <f t="shared" si="10"/>
        <v>500</v>
      </c>
      <c r="I19" s="125">
        <f t="shared" si="11"/>
        <v>0</v>
      </c>
      <c r="J19" s="125">
        <v>4.4000000000000004</v>
      </c>
      <c r="K19" s="126">
        <f t="shared" si="9"/>
        <v>5.37</v>
      </c>
      <c r="L19" s="127">
        <f>TRUNC(E19*K19,2)</f>
        <v>2685</v>
      </c>
      <c r="M19" s="127">
        <f t="shared" si="12"/>
        <v>2685</v>
      </c>
      <c r="N19" s="127">
        <f t="shared" si="13"/>
        <v>0</v>
      </c>
      <c r="O19" s="127">
        <f t="shared" si="14"/>
        <v>2685</v>
      </c>
      <c r="P19" s="127">
        <f t="shared" si="15"/>
        <v>0</v>
      </c>
      <c r="Q19" s="127">
        <f t="shared" si="2"/>
        <v>0</v>
      </c>
      <c r="R19" s="127">
        <f t="shared" si="3"/>
        <v>100</v>
      </c>
      <c r="S19" s="128">
        <f t="shared" si="4"/>
        <v>0</v>
      </c>
      <c r="T19" s="113">
        <f t="shared" si="7"/>
        <v>2685</v>
      </c>
      <c r="Y19" s="219">
        <f t="shared" si="5"/>
        <v>1</v>
      </c>
    </row>
    <row r="20" spans="1:25" customFormat="1" ht="25.5" x14ac:dyDescent="0.2">
      <c r="A20" s="37" t="s">
        <v>105</v>
      </c>
      <c r="B20" s="38" t="s">
        <v>106</v>
      </c>
      <c r="C20" s="37" t="s">
        <v>77</v>
      </c>
      <c r="D20" s="39" t="s">
        <v>37</v>
      </c>
      <c r="E20" s="78">
        <v>500</v>
      </c>
      <c r="F20" s="45">
        <v>0</v>
      </c>
      <c r="G20" s="45"/>
      <c r="H20" s="45">
        <f t="shared" si="10"/>
        <v>0</v>
      </c>
      <c r="I20" s="44">
        <f t="shared" si="11"/>
        <v>500</v>
      </c>
      <c r="J20" s="44">
        <v>2.98</v>
      </c>
      <c r="K20" s="40">
        <f t="shared" si="9"/>
        <v>3.63</v>
      </c>
      <c r="L20" s="82">
        <f>TRUNC(E20*K20,2)</f>
        <v>1815</v>
      </c>
      <c r="M20" s="82">
        <f t="shared" si="12"/>
        <v>0</v>
      </c>
      <c r="N20" s="82">
        <f t="shared" si="13"/>
        <v>0</v>
      </c>
      <c r="O20" s="82">
        <f t="shared" si="14"/>
        <v>0</v>
      </c>
      <c r="P20" s="82">
        <f t="shared" si="15"/>
        <v>1815</v>
      </c>
      <c r="Q20" s="82">
        <f t="shared" si="2"/>
        <v>0</v>
      </c>
      <c r="R20" s="82">
        <f t="shared" si="3"/>
        <v>0</v>
      </c>
      <c r="S20" s="36">
        <f t="shared" si="4"/>
        <v>100</v>
      </c>
      <c r="T20" s="33">
        <f t="shared" si="7"/>
        <v>0</v>
      </c>
      <c r="Y20" s="219">
        <f t="shared" si="5"/>
        <v>0</v>
      </c>
    </row>
    <row r="21" spans="1:25" customFormat="1" ht="12.75" x14ac:dyDescent="0.2">
      <c r="A21" s="48" t="s">
        <v>27</v>
      </c>
      <c r="B21" s="49"/>
      <c r="C21" s="48" t="s">
        <v>107</v>
      </c>
      <c r="D21" s="50"/>
      <c r="E21" s="79" t="s">
        <v>445</v>
      </c>
      <c r="F21" s="66"/>
      <c r="G21" s="66"/>
      <c r="H21" s="66"/>
      <c r="I21" s="66"/>
      <c r="J21" s="67" t="s">
        <v>445</v>
      </c>
      <c r="K21" s="52"/>
      <c r="L21" s="53">
        <f>L22</f>
        <v>7690.67</v>
      </c>
      <c r="M21" s="84">
        <f t="shared" ref="M21:P21" si="16">M22</f>
        <v>0</v>
      </c>
      <c r="N21" s="84">
        <f t="shared" si="16"/>
        <v>0</v>
      </c>
      <c r="O21" s="84">
        <f t="shared" si="16"/>
        <v>0</v>
      </c>
      <c r="P21" s="84">
        <f t="shared" si="16"/>
        <v>7690.67</v>
      </c>
      <c r="Q21" s="84">
        <f t="shared" si="2"/>
        <v>0</v>
      </c>
      <c r="R21" s="84">
        <f t="shared" si="3"/>
        <v>0</v>
      </c>
      <c r="S21" s="54">
        <f t="shared" si="4"/>
        <v>100</v>
      </c>
      <c r="T21" s="33">
        <f t="shared" si="7"/>
        <v>0</v>
      </c>
      <c r="Y21" s="219">
        <f t="shared" si="5"/>
        <v>0</v>
      </c>
    </row>
    <row r="22" spans="1:25" customFormat="1" ht="12.75" x14ac:dyDescent="0.2">
      <c r="A22" s="37" t="s">
        <v>28</v>
      </c>
      <c r="B22" s="38" t="s">
        <v>108</v>
      </c>
      <c r="C22" s="37" t="s">
        <v>109</v>
      </c>
      <c r="D22" s="39" t="s">
        <v>22</v>
      </c>
      <c r="E22" s="78">
        <v>13</v>
      </c>
      <c r="F22" s="45">
        <v>0</v>
      </c>
      <c r="G22" s="45"/>
      <c r="H22" s="45">
        <f t="shared" ref="H22" si="17">F22+G22</f>
        <v>0</v>
      </c>
      <c r="I22" s="44">
        <f t="shared" ref="I22" si="18">ROUND(E22-H22,2)</f>
        <v>13</v>
      </c>
      <c r="J22" s="44">
        <v>484.48</v>
      </c>
      <c r="K22" s="40">
        <f>TRUNC(J22*1.2211,2)</f>
        <v>591.59</v>
      </c>
      <c r="L22" s="40">
        <f>TRUNC(E22*K22,2)</f>
        <v>7690.67</v>
      </c>
      <c r="M22" s="82">
        <f t="shared" ref="M22" si="19">ROUND(F22*$K22,2)</f>
        <v>0</v>
      </c>
      <c r="N22" s="82">
        <f t="shared" ref="N22" si="20">ROUND(G22*$K22,2)</f>
        <v>0</v>
      </c>
      <c r="O22" s="82">
        <f t="shared" ref="O22" si="21">ROUND(H22*$K22,2)</f>
        <v>0</v>
      </c>
      <c r="P22" s="82">
        <f t="shared" si="15"/>
        <v>7690.67</v>
      </c>
      <c r="Q22" s="82">
        <f t="shared" si="2"/>
        <v>0</v>
      </c>
      <c r="R22" s="82">
        <f t="shared" si="3"/>
        <v>0</v>
      </c>
      <c r="S22" s="36">
        <f t="shared" si="4"/>
        <v>100</v>
      </c>
      <c r="T22" s="33">
        <f t="shared" si="7"/>
        <v>0</v>
      </c>
      <c r="Y22" s="219">
        <f t="shared" si="5"/>
        <v>0</v>
      </c>
    </row>
    <row r="23" spans="1:25" s="114" customFormat="1" ht="12.75" x14ac:dyDescent="0.2">
      <c r="A23" s="55" t="s">
        <v>31</v>
      </c>
      <c r="B23" s="105"/>
      <c r="C23" s="55" t="s">
        <v>110</v>
      </c>
      <c r="D23" s="106"/>
      <c r="E23" s="107" t="s">
        <v>445</v>
      </c>
      <c r="F23" s="108"/>
      <c r="G23" s="108"/>
      <c r="H23" s="108"/>
      <c r="I23" s="108"/>
      <c r="J23" s="109" t="s">
        <v>445</v>
      </c>
      <c r="K23" s="110"/>
      <c r="L23" s="111">
        <f>L24+L27+L32+L34+L40+L46</f>
        <v>160840.31</v>
      </c>
      <c r="M23" s="111">
        <f t="shared" ref="M23:P23" si="22">M24+M27+M32+M34+M40+M46</f>
        <v>160840.31</v>
      </c>
      <c r="N23" s="111">
        <f t="shared" si="22"/>
        <v>0</v>
      </c>
      <c r="O23" s="111">
        <f t="shared" si="22"/>
        <v>160840.31</v>
      </c>
      <c r="P23" s="111">
        <f t="shared" si="22"/>
        <v>0</v>
      </c>
      <c r="Q23" s="111">
        <f t="shared" ref="Q23:Q86" si="23">N23/L23*100</f>
        <v>0</v>
      </c>
      <c r="R23" s="111">
        <f t="shared" ref="R23:R86" si="24">O23/L23*100</f>
        <v>100</v>
      </c>
      <c r="S23" s="112">
        <f t="shared" ref="S23:S86" si="25">P23/L23*100</f>
        <v>0</v>
      </c>
      <c r="T23" s="113">
        <f t="shared" si="7"/>
        <v>160840.31</v>
      </c>
      <c r="Y23" s="219">
        <f t="shared" si="5"/>
        <v>1</v>
      </c>
    </row>
    <row r="24" spans="1:25" s="114" customFormat="1" ht="12.75" x14ac:dyDescent="0.2">
      <c r="A24" s="48" t="s">
        <v>32</v>
      </c>
      <c r="B24" s="115"/>
      <c r="C24" s="48" t="s">
        <v>111</v>
      </c>
      <c r="D24" s="116"/>
      <c r="E24" s="117" t="s">
        <v>445</v>
      </c>
      <c r="F24" s="118"/>
      <c r="G24" s="118"/>
      <c r="H24" s="118"/>
      <c r="I24" s="118"/>
      <c r="J24" s="119" t="s">
        <v>445</v>
      </c>
      <c r="K24" s="120"/>
      <c r="L24" s="121">
        <f>L25+L26</f>
        <v>19795</v>
      </c>
      <c r="M24" s="121">
        <f t="shared" ref="M24:P24" si="26">M25+M26</f>
        <v>19795</v>
      </c>
      <c r="N24" s="121">
        <f t="shared" si="26"/>
        <v>0</v>
      </c>
      <c r="O24" s="121">
        <f t="shared" si="26"/>
        <v>19795</v>
      </c>
      <c r="P24" s="121">
        <f t="shared" si="26"/>
        <v>0</v>
      </c>
      <c r="Q24" s="121">
        <f t="shared" si="23"/>
        <v>0</v>
      </c>
      <c r="R24" s="121">
        <f t="shared" si="24"/>
        <v>100</v>
      </c>
      <c r="S24" s="122">
        <f t="shared" si="25"/>
        <v>0</v>
      </c>
      <c r="T24" s="113">
        <f t="shared" si="7"/>
        <v>19795</v>
      </c>
      <c r="Y24" s="219">
        <f t="shared" si="5"/>
        <v>1</v>
      </c>
    </row>
    <row r="25" spans="1:25" s="114" customFormat="1" ht="25.5" x14ac:dyDescent="0.2">
      <c r="A25" s="37" t="s">
        <v>33</v>
      </c>
      <c r="B25" s="38" t="s">
        <v>112</v>
      </c>
      <c r="C25" s="37" t="s">
        <v>113</v>
      </c>
      <c r="D25" s="39" t="s">
        <v>29</v>
      </c>
      <c r="E25" s="123">
        <v>5000</v>
      </c>
      <c r="F25" s="124">
        <v>5000</v>
      </c>
      <c r="G25" s="125"/>
      <c r="H25" s="124">
        <f t="shared" ref="H25" si="27">F25+G25</f>
        <v>5000</v>
      </c>
      <c r="I25" s="125">
        <f t="shared" ref="I25" si="28">ROUND(E25-H25,2)</f>
        <v>0</v>
      </c>
      <c r="J25" s="125">
        <v>3.07</v>
      </c>
      <c r="K25" s="126">
        <f t="shared" ref="K25:K26" si="29">TRUNC(J25*1.2211,2)</f>
        <v>3.74</v>
      </c>
      <c r="L25" s="126">
        <f>TRUNC(E25*K25,2)</f>
        <v>18700</v>
      </c>
      <c r="M25" s="127">
        <f t="shared" ref="M25" si="30">ROUND(F25*$K25,2)</f>
        <v>18700</v>
      </c>
      <c r="N25" s="127">
        <f t="shared" ref="N25" si="31">ROUND(G25*$K25,2)</f>
        <v>0</v>
      </c>
      <c r="O25" s="127">
        <f t="shared" ref="O25" si="32">ROUND(H25*$K25,2)</f>
        <v>18700</v>
      </c>
      <c r="P25" s="127">
        <f t="shared" ref="P25:P48" si="33">ROUND(I25*$K25,2)</f>
        <v>0</v>
      </c>
      <c r="Q25" s="127">
        <f t="shared" si="23"/>
        <v>0</v>
      </c>
      <c r="R25" s="127">
        <f t="shared" si="24"/>
        <v>100</v>
      </c>
      <c r="S25" s="128">
        <f t="shared" si="25"/>
        <v>0</v>
      </c>
      <c r="T25" s="113">
        <f t="shared" si="7"/>
        <v>18700</v>
      </c>
      <c r="V25" s="114">
        <f>(E25/180)*41</f>
        <v>1138.8888888888889</v>
      </c>
      <c r="Y25" s="219">
        <f t="shared" si="5"/>
        <v>1</v>
      </c>
    </row>
    <row r="26" spans="1:25" s="114" customFormat="1" ht="25.5" x14ac:dyDescent="0.2">
      <c r="A26" s="37" t="s">
        <v>34</v>
      </c>
      <c r="B26" s="38" t="s">
        <v>114</v>
      </c>
      <c r="C26" s="37" t="s">
        <v>115</v>
      </c>
      <c r="D26" s="39" t="s">
        <v>14</v>
      </c>
      <c r="E26" s="123">
        <v>500</v>
      </c>
      <c r="F26" s="124">
        <v>500</v>
      </c>
      <c r="G26" s="125"/>
      <c r="H26" s="124">
        <f t="shared" ref="H26" si="34">F26+G26</f>
        <v>500</v>
      </c>
      <c r="I26" s="125">
        <f t="shared" ref="I26" si="35">ROUND(E26-H26,2)</f>
        <v>0</v>
      </c>
      <c r="J26" s="125">
        <v>1.8</v>
      </c>
      <c r="K26" s="126">
        <f t="shared" si="29"/>
        <v>2.19</v>
      </c>
      <c r="L26" s="126">
        <f>TRUNC(E26*K26,2)</f>
        <v>1095</v>
      </c>
      <c r="M26" s="127">
        <f t="shared" ref="M26" si="36">ROUND(F26*$K26,2)</f>
        <v>1095</v>
      </c>
      <c r="N26" s="127">
        <f t="shared" ref="N26" si="37">ROUND(G26*$K26,2)</f>
        <v>0</v>
      </c>
      <c r="O26" s="127">
        <f t="shared" ref="O26" si="38">ROUND(H26*$K26,2)</f>
        <v>1095</v>
      </c>
      <c r="P26" s="127">
        <f t="shared" si="33"/>
        <v>0</v>
      </c>
      <c r="Q26" s="127">
        <f t="shared" si="23"/>
        <v>0</v>
      </c>
      <c r="R26" s="127">
        <f t="shared" si="24"/>
        <v>100</v>
      </c>
      <c r="S26" s="128">
        <f t="shared" si="25"/>
        <v>0</v>
      </c>
      <c r="T26" s="113">
        <f t="shared" si="7"/>
        <v>1095</v>
      </c>
      <c r="V26" s="114">
        <f>(E26/180)*41</f>
        <v>113.88888888888889</v>
      </c>
      <c r="Y26" s="219">
        <f t="shared" si="5"/>
        <v>1</v>
      </c>
    </row>
    <row r="27" spans="1:25" s="114" customFormat="1" ht="12.75" x14ac:dyDescent="0.2">
      <c r="A27" s="48" t="s">
        <v>35</v>
      </c>
      <c r="B27" s="115"/>
      <c r="C27" s="48" t="s">
        <v>116</v>
      </c>
      <c r="D27" s="116"/>
      <c r="E27" s="117" t="s">
        <v>445</v>
      </c>
      <c r="F27" s="118"/>
      <c r="G27" s="118"/>
      <c r="H27" s="118"/>
      <c r="I27" s="118"/>
      <c r="J27" s="119" t="s">
        <v>445</v>
      </c>
      <c r="K27" s="120"/>
      <c r="L27" s="121">
        <f>SUM(L28:L31)</f>
        <v>2275.1600000000003</v>
      </c>
      <c r="M27" s="121">
        <f t="shared" ref="M27:P27" si="39">SUM(M28:M31)</f>
        <v>2275.1600000000003</v>
      </c>
      <c r="N27" s="121">
        <f t="shared" si="39"/>
        <v>0</v>
      </c>
      <c r="O27" s="121">
        <f t="shared" si="39"/>
        <v>2275.1600000000003</v>
      </c>
      <c r="P27" s="121">
        <f t="shared" si="39"/>
        <v>0</v>
      </c>
      <c r="Q27" s="121">
        <f t="shared" si="23"/>
        <v>0</v>
      </c>
      <c r="R27" s="121">
        <f t="shared" si="24"/>
        <v>100</v>
      </c>
      <c r="S27" s="122">
        <f t="shared" si="25"/>
        <v>0</v>
      </c>
      <c r="T27" s="113">
        <f t="shared" si="7"/>
        <v>2275.1600000000003</v>
      </c>
      <c r="V27" s="114" t="e">
        <f t="shared" ref="V27:V48" si="40">(E27/180)*41</f>
        <v>#VALUE!</v>
      </c>
      <c r="Y27" s="219">
        <f t="shared" si="5"/>
        <v>1</v>
      </c>
    </row>
    <row r="28" spans="1:25" s="114" customFormat="1" ht="25.5" x14ac:dyDescent="0.2">
      <c r="A28" s="37" t="s">
        <v>36</v>
      </c>
      <c r="B28" s="38" t="s">
        <v>117</v>
      </c>
      <c r="C28" s="37" t="s">
        <v>118</v>
      </c>
      <c r="D28" s="39" t="s">
        <v>14</v>
      </c>
      <c r="E28" s="123">
        <v>90</v>
      </c>
      <c r="F28" s="124">
        <v>90</v>
      </c>
      <c r="G28" s="125"/>
      <c r="H28" s="124">
        <f t="shared" ref="H28" si="41">F28+G28</f>
        <v>90</v>
      </c>
      <c r="I28" s="125">
        <f t="shared" ref="I28" si="42">ROUND(E28-H28,2)</f>
        <v>0</v>
      </c>
      <c r="J28" s="125">
        <v>6.65</v>
      </c>
      <c r="K28" s="126">
        <f t="shared" ref="K28:K31" si="43">TRUNC(J28*1.2211,2)</f>
        <v>8.1199999999999992</v>
      </c>
      <c r="L28" s="126">
        <f>TRUNC(E28*K28,2)</f>
        <v>730.8</v>
      </c>
      <c r="M28" s="127">
        <f t="shared" ref="M28" si="44">ROUND(F28*$K28,2)</f>
        <v>730.8</v>
      </c>
      <c r="N28" s="127">
        <f t="shared" ref="N28" si="45">ROUND(G28*$K28,2)</f>
        <v>0</v>
      </c>
      <c r="O28" s="127">
        <f t="shared" ref="O28" si="46">ROUND(H28*$K28,2)</f>
        <v>730.8</v>
      </c>
      <c r="P28" s="127">
        <f t="shared" si="33"/>
        <v>0</v>
      </c>
      <c r="Q28" s="127">
        <f t="shared" si="23"/>
        <v>0</v>
      </c>
      <c r="R28" s="127">
        <f t="shared" si="24"/>
        <v>100</v>
      </c>
      <c r="S28" s="128">
        <f t="shared" si="25"/>
        <v>0</v>
      </c>
      <c r="T28" s="113">
        <f t="shared" si="7"/>
        <v>730.8</v>
      </c>
      <c r="V28" s="114">
        <f t="shared" si="40"/>
        <v>20.5</v>
      </c>
      <c r="Y28" s="219">
        <f t="shared" si="5"/>
        <v>1</v>
      </c>
    </row>
    <row r="29" spans="1:25" s="114" customFormat="1" ht="25.5" x14ac:dyDescent="0.2">
      <c r="A29" s="37" t="s">
        <v>38</v>
      </c>
      <c r="B29" s="38">
        <v>5914359</v>
      </c>
      <c r="C29" s="37" t="s">
        <v>119</v>
      </c>
      <c r="D29" s="39" t="s">
        <v>120</v>
      </c>
      <c r="E29" s="123">
        <v>608</v>
      </c>
      <c r="F29" s="124">
        <v>608</v>
      </c>
      <c r="G29" s="125"/>
      <c r="H29" s="124">
        <f t="shared" ref="H29:H31" si="47">F29+G29</f>
        <v>608</v>
      </c>
      <c r="I29" s="125">
        <f t="shared" ref="I29:I31" si="48">ROUND(E29-H29,2)</f>
        <v>0</v>
      </c>
      <c r="J29" s="125">
        <v>1.24</v>
      </c>
      <c r="K29" s="126">
        <f t="shared" si="43"/>
        <v>1.51</v>
      </c>
      <c r="L29" s="126">
        <f>TRUNC(E29*K29,2)</f>
        <v>918.08</v>
      </c>
      <c r="M29" s="127">
        <f t="shared" ref="M29:M31" si="49">ROUND(F29*$K29,2)</f>
        <v>918.08</v>
      </c>
      <c r="N29" s="127">
        <f t="shared" ref="N29:N31" si="50">ROUND(G29*$K29,2)</f>
        <v>0</v>
      </c>
      <c r="O29" s="127">
        <f t="shared" ref="O29:O31" si="51">ROUND(H29*$K29,2)</f>
        <v>918.08</v>
      </c>
      <c r="P29" s="127">
        <f t="shared" si="33"/>
        <v>0</v>
      </c>
      <c r="Q29" s="127">
        <f t="shared" si="23"/>
        <v>0</v>
      </c>
      <c r="R29" s="127">
        <f t="shared" si="24"/>
        <v>100</v>
      </c>
      <c r="S29" s="128">
        <f t="shared" si="25"/>
        <v>0</v>
      </c>
      <c r="T29" s="113">
        <f t="shared" si="7"/>
        <v>918.08</v>
      </c>
      <c r="V29" s="114">
        <f t="shared" si="40"/>
        <v>138.48888888888888</v>
      </c>
      <c r="Y29" s="219">
        <f t="shared" si="5"/>
        <v>1</v>
      </c>
    </row>
    <row r="30" spans="1:25" s="114" customFormat="1" ht="25.5" x14ac:dyDescent="0.2">
      <c r="A30" s="37" t="s">
        <v>39</v>
      </c>
      <c r="B30" s="38"/>
      <c r="C30" s="37" t="s">
        <v>121</v>
      </c>
      <c r="D30" s="39" t="s">
        <v>120</v>
      </c>
      <c r="E30" s="123">
        <v>426</v>
      </c>
      <c r="F30" s="124">
        <v>426</v>
      </c>
      <c r="G30" s="125"/>
      <c r="H30" s="124">
        <f t="shared" si="47"/>
        <v>426</v>
      </c>
      <c r="I30" s="125">
        <f t="shared" si="48"/>
        <v>0</v>
      </c>
      <c r="J30" s="125">
        <v>0.81</v>
      </c>
      <c r="K30" s="126">
        <f t="shared" si="43"/>
        <v>0.98</v>
      </c>
      <c r="L30" s="126">
        <f>TRUNC(E30*K30,2)</f>
        <v>417.48</v>
      </c>
      <c r="M30" s="127">
        <f t="shared" si="49"/>
        <v>417.48</v>
      </c>
      <c r="N30" s="127">
        <f t="shared" si="50"/>
        <v>0</v>
      </c>
      <c r="O30" s="127">
        <f t="shared" si="51"/>
        <v>417.48</v>
      </c>
      <c r="P30" s="127">
        <f t="shared" si="33"/>
        <v>0</v>
      </c>
      <c r="Q30" s="127">
        <f t="shared" si="23"/>
        <v>0</v>
      </c>
      <c r="R30" s="127">
        <f t="shared" si="24"/>
        <v>100</v>
      </c>
      <c r="S30" s="128">
        <f t="shared" si="25"/>
        <v>0</v>
      </c>
      <c r="T30" s="113">
        <f t="shared" si="7"/>
        <v>417.48</v>
      </c>
      <c r="V30" s="114">
        <f t="shared" si="40"/>
        <v>97.033333333333331</v>
      </c>
      <c r="Y30" s="219">
        <f t="shared" si="5"/>
        <v>1</v>
      </c>
    </row>
    <row r="31" spans="1:25" s="114" customFormat="1" ht="12.75" x14ac:dyDescent="0.2">
      <c r="A31" s="37" t="s">
        <v>40</v>
      </c>
      <c r="B31" s="38" t="s">
        <v>122</v>
      </c>
      <c r="C31" s="37" t="s">
        <v>123</v>
      </c>
      <c r="D31" s="39" t="s">
        <v>14</v>
      </c>
      <c r="E31" s="123">
        <v>72</v>
      </c>
      <c r="F31" s="124">
        <v>72</v>
      </c>
      <c r="G31" s="125"/>
      <c r="H31" s="124">
        <f t="shared" si="47"/>
        <v>72</v>
      </c>
      <c r="I31" s="125">
        <f t="shared" si="48"/>
        <v>0</v>
      </c>
      <c r="J31" s="125">
        <v>2.38</v>
      </c>
      <c r="K31" s="126">
        <f t="shared" si="43"/>
        <v>2.9</v>
      </c>
      <c r="L31" s="126">
        <f>TRUNC(E31*K31,2)</f>
        <v>208.8</v>
      </c>
      <c r="M31" s="127">
        <f t="shared" si="49"/>
        <v>208.8</v>
      </c>
      <c r="N31" s="127">
        <f t="shared" si="50"/>
        <v>0</v>
      </c>
      <c r="O31" s="127">
        <f t="shared" si="51"/>
        <v>208.8</v>
      </c>
      <c r="P31" s="127">
        <f t="shared" si="33"/>
        <v>0</v>
      </c>
      <c r="Q31" s="127">
        <f t="shared" si="23"/>
        <v>0</v>
      </c>
      <c r="R31" s="127">
        <f t="shared" si="24"/>
        <v>100</v>
      </c>
      <c r="S31" s="128">
        <f t="shared" si="25"/>
        <v>0</v>
      </c>
      <c r="T31" s="113">
        <f t="shared" si="7"/>
        <v>208.8</v>
      </c>
      <c r="V31" s="114">
        <f t="shared" si="40"/>
        <v>16.400000000000002</v>
      </c>
      <c r="Y31" s="219">
        <f t="shared" si="5"/>
        <v>1</v>
      </c>
    </row>
    <row r="32" spans="1:25" s="114" customFormat="1" ht="12.75" x14ac:dyDescent="0.2">
      <c r="A32" s="48" t="s">
        <v>9</v>
      </c>
      <c r="B32" s="115"/>
      <c r="C32" s="48" t="s">
        <v>124</v>
      </c>
      <c r="D32" s="116"/>
      <c r="E32" s="117" t="s">
        <v>445</v>
      </c>
      <c r="F32" s="118"/>
      <c r="G32" s="118"/>
      <c r="H32" s="118"/>
      <c r="I32" s="118"/>
      <c r="J32" s="119" t="s">
        <v>445</v>
      </c>
      <c r="K32" s="120"/>
      <c r="L32" s="129">
        <f>L33</f>
        <v>48696</v>
      </c>
      <c r="M32" s="121">
        <f t="shared" ref="M32:P32" si="52">M33</f>
        <v>48696</v>
      </c>
      <c r="N32" s="121">
        <f t="shared" si="52"/>
        <v>0</v>
      </c>
      <c r="O32" s="121">
        <f t="shared" si="52"/>
        <v>48696</v>
      </c>
      <c r="P32" s="121">
        <f t="shared" si="52"/>
        <v>0</v>
      </c>
      <c r="Q32" s="121">
        <f t="shared" si="23"/>
        <v>0</v>
      </c>
      <c r="R32" s="121">
        <f t="shared" si="24"/>
        <v>100</v>
      </c>
      <c r="S32" s="122">
        <f t="shared" si="25"/>
        <v>0</v>
      </c>
      <c r="T32" s="113">
        <f t="shared" si="7"/>
        <v>48696</v>
      </c>
      <c r="V32" s="114" t="e">
        <f t="shared" si="40"/>
        <v>#VALUE!</v>
      </c>
      <c r="Y32" s="219">
        <f t="shared" si="5"/>
        <v>1</v>
      </c>
    </row>
    <row r="33" spans="1:25" s="114" customFormat="1" ht="12.75" x14ac:dyDescent="0.2">
      <c r="A33" s="37" t="s">
        <v>0</v>
      </c>
      <c r="B33" s="38" t="s">
        <v>125</v>
      </c>
      <c r="C33" s="37" t="s">
        <v>126</v>
      </c>
      <c r="D33" s="39" t="s">
        <v>29</v>
      </c>
      <c r="E33" s="123">
        <v>600</v>
      </c>
      <c r="F33" s="124">
        <v>600</v>
      </c>
      <c r="G33" s="125"/>
      <c r="H33" s="124">
        <f t="shared" ref="H33" si="53">F33+G33</f>
        <v>600</v>
      </c>
      <c r="I33" s="125">
        <f t="shared" ref="I33" si="54">ROUND(E33-H33,2)</f>
        <v>0</v>
      </c>
      <c r="J33" s="125">
        <v>66.47</v>
      </c>
      <c r="K33" s="126">
        <f>TRUNC(J33*1.2211,2)</f>
        <v>81.16</v>
      </c>
      <c r="L33" s="126">
        <f>TRUNC(E33*K33,2)</f>
        <v>48696</v>
      </c>
      <c r="M33" s="127">
        <f t="shared" ref="M33" si="55">ROUND(F33*$K33,2)</f>
        <v>48696</v>
      </c>
      <c r="N33" s="127">
        <f t="shared" ref="N33" si="56">ROUND(G33*$K33,2)</f>
        <v>0</v>
      </c>
      <c r="O33" s="127">
        <f t="shared" ref="O33" si="57">ROUND(H33*$K33,2)</f>
        <v>48696</v>
      </c>
      <c r="P33" s="127">
        <f t="shared" si="33"/>
        <v>0</v>
      </c>
      <c r="Q33" s="127">
        <f t="shared" si="23"/>
        <v>0</v>
      </c>
      <c r="R33" s="127">
        <f t="shared" si="24"/>
        <v>100</v>
      </c>
      <c r="S33" s="128">
        <f t="shared" si="25"/>
        <v>0</v>
      </c>
      <c r="T33" s="113">
        <f t="shared" si="7"/>
        <v>48696</v>
      </c>
      <c r="V33" s="114">
        <f t="shared" si="40"/>
        <v>136.66666666666669</v>
      </c>
      <c r="Y33" s="219">
        <f t="shared" si="5"/>
        <v>1</v>
      </c>
    </row>
    <row r="34" spans="1:25" s="114" customFormat="1" ht="12.75" x14ac:dyDescent="0.2">
      <c r="A34" s="48" t="s">
        <v>1</v>
      </c>
      <c r="B34" s="115"/>
      <c r="C34" s="48" t="s">
        <v>127</v>
      </c>
      <c r="D34" s="116"/>
      <c r="E34" s="117" t="s">
        <v>445</v>
      </c>
      <c r="F34" s="118"/>
      <c r="G34" s="118"/>
      <c r="H34" s="118"/>
      <c r="I34" s="118"/>
      <c r="J34" s="119" t="s">
        <v>445</v>
      </c>
      <c r="K34" s="120"/>
      <c r="L34" s="129">
        <f>SUM(L35:L39)</f>
        <v>51935.06</v>
      </c>
      <c r="M34" s="129">
        <f t="shared" ref="M34:P34" si="58">SUM(M35:M39)</f>
        <v>51935.06</v>
      </c>
      <c r="N34" s="129">
        <f t="shared" si="58"/>
        <v>0</v>
      </c>
      <c r="O34" s="129">
        <f t="shared" si="58"/>
        <v>51935.06</v>
      </c>
      <c r="P34" s="129">
        <f t="shared" si="58"/>
        <v>0</v>
      </c>
      <c r="Q34" s="129">
        <f t="shared" si="23"/>
        <v>0</v>
      </c>
      <c r="R34" s="129">
        <f t="shared" si="24"/>
        <v>100</v>
      </c>
      <c r="S34" s="122">
        <f t="shared" si="25"/>
        <v>0</v>
      </c>
      <c r="T34" s="113">
        <f t="shared" si="7"/>
        <v>51935.06</v>
      </c>
      <c r="V34" s="114" t="e">
        <f t="shared" si="40"/>
        <v>#VALUE!</v>
      </c>
      <c r="Y34" s="219">
        <f t="shared" si="5"/>
        <v>1</v>
      </c>
    </row>
    <row r="35" spans="1:25" s="114" customFormat="1" ht="12.75" x14ac:dyDescent="0.2">
      <c r="A35" s="37" t="s">
        <v>2</v>
      </c>
      <c r="B35" s="38" t="s">
        <v>128</v>
      </c>
      <c r="C35" s="37" t="s">
        <v>129</v>
      </c>
      <c r="D35" s="39" t="s">
        <v>22</v>
      </c>
      <c r="E35" s="123">
        <v>1</v>
      </c>
      <c r="F35" s="124">
        <v>1</v>
      </c>
      <c r="G35" s="125"/>
      <c r="H35" s="124">
        <f t="shared" ref="H35" si="59">F35+G35</f>
        <v>1</v>
      </c>
      <c r="I35" s="125">
        <f t="shared" ref="I35" si="60">ROUND(E35-H35,2)</f>
        <v>0</v>
      </c>
      <c r="J35" s="125">
        <v>10595.85</v>
      </c>
      <c r="K35" s="126">
        <f t="shared" ref="K35:K39" si="61">TRUNC(J35*1.2211,2)</f>
        <v>12938.59</v>
      </c>
      <c r="L35" s="126">
        <f>TRUNC(E35*K35,2)</f>
        <v>12938.59</v>
      </c>
      <c r="M35" s="127">
        <f t="shared" ref="M35" si="62">ROUND(F35*$K35,2)</f>
        <v>12938.59</v>
      </c>
      <c r="N35" s="127">
        <f t="shared" ref="N35" si="63">ROUND(G35*$K35,2)</f>
        <v>0</v>
      </c>
      <c r="O35" s="127">
        <f t="shared" ref="O35" si="64">ROUND(H35*$K35,2)</f>
        <v>12938.59</v>
      </c>
      <c r="P35" s="127">
        <f t="shared" si="33"/>
        <v>0</v>
      </c>
      <c r="Q35" s="127">
        <f t="shared" si="23"/>
        <v>0</v>
      </c>
      <c r="R35" s="127">
        <f t="shared" si="24"/>
        <v>100</v>
      </c>
      <c r="S35" s="128">
        <f t="shared" si="25"/>
        <v>0</v>
      </c>
      <c r="T35" s="113">
        <f t="shared" si="7"/>
        <v>12938.59</v>
      </c>
      <c r="V35" s="114">
        <f t="shared" si="40"/>
        <v>0.22777777777777777</v>
      </c>
      <c r="Y35" s="219">
        <f t="shared" si="5"/>
        <v>1</v>
      </c>
    </row>
    <row r="36" spans="1:25" s="114" customFormat="1" ht="25.5" x14ac:dyDescent="0.2">
      <c r="A36" s="37" t="s">
        <v>3</v>
      </c>
      <c r="B36" s="38" t="s">
        <v>130</v>
      </c>
      <c r="C36" s="37" t="s">
        <v>131</v>
      </c>
      <c r="D36" s="39" t="s">
        <v>22</v>
      </c>
      <c r="E36" s="123">
        <v>1</v>
      </c>
      <c r="F36" s="124">
        <v>1</v>
      </c>
      <c r="G36" s="125"/>
      <c r="H36" s="124">
        <f t="shared" ref="H36:H39" si="65">F36+G36</f>
        <v>1</v>
      </c>
      <c r="I36" s="125">
        <f t="shared" ref="I36:I39" si="66">ROUND(E36-H36,2)</f>
        <v>0</v>
      </c>
      <c r="J36" s="125">
        <v>6021.84</v>
      </c>
      <c r="K36" s="126">
        <f t="shared" si="61"/>
        <v>7353.26</v>
      </c>
      <c r="L36" s="126">
        <f>TRUNC(E36*K36,2)</f>
        <v>7353.26</v>
      </c>
      <c r="M36" s="127">
        <f t="shared" ref="M36:M39" si="67">ROUND(F36*$K36,2)</f>
        <v>7353.26</v>
      </c>
      <c r="N36" s="127">
        <f t="shared" ref="N36:N39" si="68">ROUND(G36*$K36,2)</f>
        <v>0</v>
      </c>
      <c r="O36" s="127">
        <f t="shared" ref="O36:O39" si="69">ROUND(H36*$K36,2)</f>
        <v>7353.26</v>
      </c>
      <c r="P36" s="127">
        <f t="shared" si="33"/>
        <v>0</v>
      </c>
      <c r="Q36" s="127">
        <f t="shared" si="23"/>
        <v>0</v>
      </c>
      <c r="R36" s="127">
        <f t="shared" si="24"/>
        <v>100</v>
      </c>
      <c r="S36" s="128">
        <f t="shared" si="25"/>
        <v>0</v>
      </c>
      <c r="T36" s="113">
        <f t="shared" si="7"/>
        <v>7353.26</v>
      </c>
      <c r="V36" s="114">
        <f t="shared" si="40"/>
        <v>0.22777777777777777</v>
      </c>
      <c r="Y36" s="219">
        <f t="shared" si="5"/>
        <v>1</v>
      </c>
    </row>
    <row r="37" spans="1:25" s="114" customFormat="1" ht="25.5" x14ac:dyDescent="0.2">
      <c r="A37" s="37" t="s">
        <v>4</v>
      </c>
      <c r="B37" s="38" t="s">
        <v>132</v>
      </c>
      <c r="C37" s="37" t="s">
        <v>133</v>
      </c>
      <c r="D37" s="39" t="s">
        <v>29</v>
      </c>
      <c r="E37" s="123">
        <v>85</v>
      </c>
      <c r="F37" s="124">
        <v>85</v>
      </c>
      <c r="G37" s="125"/>
      <c r="H37" s="124">
        <f t="shared" si="65"/>
        <v>85</v>
      </c>
      <c r="I37" s="125">
        <f t="shared" si="66"/>
        <v>0</v>
      </c>
      <c r="J37" s="125">
        <v>91.74</v>
      </c>
      <c r="K37" s="126">
        <f t="shared" si="61"/>
        <v>112.02</v>
      </c>
      <c r="L37" s="126">
        <f>TRUNC(E37*K37,2)</f>
        <v>9521.7000000000007</v>
      </c>
      <c r="M37" s="127">
        <f t="shared" si="67"/>
        <v>9521.7000000000007</v>
      </c>
      <c r="N37" s="127">
        <f t="shared" si="68"/>
        <v>0</v>
      </c>
      <c r="O37" s="127">
        <f t="shared" si="69"/>
        <v>9521.7000000000007</v>
      </c>
      <c r="P37" s="127">
        <f t="shared" si="33"/>
        <v>0</v>
      </c>
      <c r="Q37" s="127">
        <f t="shared" si="23"/>
        <v>0</v>
      </c>
      <c r="R37" s="127">
        <f t="shared" si="24"/>
        <v>100</v>
      </c>
      <c r="S37" s="128">
        <f t="shared" si="25"/>
        <v>0</v>
      </c>
      <c r="T37" s="113">
        <f t="shared" si="7"/>
        <v>9521.7000000000007</v>
      </c>
      <c r="V37" s="114">
        <f t="shared" si="40"/>
        <v>19.361111111111111</v>
      </c>
      <c r="Y37" s="219">
        <f t="shared" si="5"/>
        <v>1</v>
      </c>
    </row>
    <row r="38" spans="1:25" s="114" customFormat="1" ht="25.5" x14ac:dyDescent="0.2">
      <c r="A38" s="37" t="s">
        <v>5</v>
      </c>
      <c r="B38" s="38" t="s">
        <v>134</v>
      </c>
      <c r="C38" s="37" t="s">
        <v>135</v>
      </c>
      <c r="D38" s="39" t="s">
        <v>22</v>
      </c>
      <c r="E38" s="123">
        <v>1</v>
      </c>
      <c r="F38" s="124">
        <v>1</v>
      </c>
      <c r="G38" s="125"/>
      <c r="H38" s="124">
        <f t="shared" si="65"/>
        <v>1</v>
      </c>
      <c r="I38" s="125">
        <f t="shared" si="66"/>
        <v>0</v>
      </c>
      <c r="J38" s="125">
        <v>8608.94</v>
      </c>
      <c r="K38" s="126">
        <f t="shared" si="61"/>
        <v>10512.37</v>
      </c>
      <c r="L38" s="126">
        <f>TRUNC(E38*K38,2)</f>
        <v>10512.37</v>
      </c>
      <c r="M38" s="127">
        <f t="shared" si="67"/>
        <v>10512.37</v>
      </c>
      <c r="N38" s="127">
        <f t="shared" si="68"/>
        <v>0</v>
      </c>
      <c r="O38" s="127">
        <f t="shared" si="69"/>
        <v>10512.37</v>
      </c>
      <c r="P38" s="127">
        <f t="shared" si="33"/>
        <v>0</v>
      </c>
      <c r="Q38" s="127">
        <f t="shared" si="23"/>
        <v>0</v>
      </c>
      <c r="R38" s="127">
        <f t="shared" si="24"/>
        <v>100</v>
      </c>
      <c r="S38" s="128">
        <f t="shared" si="25"/>
        <v>0</v>
      </c>
      <c r="T38" s="113">
        <f t="shared" si="7"/>
        <v>10512.37</v>
      </c>
      <c r="V38" s="114">
        <f t="shared" si="40"/>
        <v>0.22777777777777777</v>
      </c>
      <c r="Y38" s="219">
        <f t="shared" si="5"/>
        <v>1</v>
      </c>
    </row>
    <row r="39" spans="1:25" s="114" customFormat="1" ht="25.5" x14ac:dyDescent="0.2">
      <c r="A39" s="37" t="s">
        <v>136</v>
      </c>
      <c r="B39" s="38" t="s">
        <v>137</v>
      </c>
      <c r="C39" s="37" t="s">
        <v>138</v>
      </c>
      <c r="D39" s="39" t="s">
        <v>22</v>
      </c>
      <c r="E39" s="123">
        <v>1</v>
      </c>
      <c r="F39" s="124">
        <v>1</v>
      </c>
      <c r="G39" s="125"/>
      <c r="H39" s="124">
        <f t="shared" si="65"/>
        <v>1</v>
      </c>
      <c r="I39" s="125">
        <f t="shared" si="66"/>
        <v>0</v>
      </c>
      <c r="J39" s="125">
        <v>9507.1200000000008</v>
      </c>
      <c r="K39" s="126">
        <f t="shared" si="61"/>
        <v>11609.14</v>
      </c>
      <c r="L39" s="126">
        <f>TRUNC(E39*K39,2)</f>
        <v>11609.14</v>
      </c>
      <c r="M39" s="127">
        <f t="shared" si="67"/>
        <v>11609.14</v>
      </c>
      <c r="N39" s="127">
        <f t="shared" si="68"/>
        <v>0</v>
      </c>
      <c r="O39" s="127">
        <f t="shared" si="69"/>
        <v>11609.14</v>
      </c>
      <c r="P39" s="127">
        <f t="shared" si="33"/>
        <v>0</v>
      </c>
      <c r="Q39" s="127">
        <f t="shared" si="23"/>
        <v>0</v>
      </c>
      <c r="R39" s="127">
        <f t="shared" si="24"/>
        <v>100</v>
      </c>
      <c r="S39" s="128">
        <f t="shared" si="25"/>
        <v>0</v>
      </c>
      <c r="T39" s="113">
        <f t="shared" si="7"/>
        <v>11609.14</v>
      </c>
      <c r="V39" s="114">
        <f t="shared" si="40"/>
        <v>0.22777777777777777</v>
      </c>
      <c r="Y39" s="219">
        <f t="shared" si="5"/>
        <v>1</v>
      </c>
    </row>
    <row r="40" spans="1:25" s="114" customFormat="1" ht="12.75" x14ac:dyDescent="0.2">
      <c r="A40" s="48" t="s">
        <v>139</v>
      </c>
      <c r="B40" s="115"/>
      <c r="C40" s="48" t="s">
        <v>140</v>
      </c>
      <c r="D40" s="116"/>
      <c r="E40" s="117" t="s">
        <v>445</v>
      </c>
      <c r="F40" s="118"/>
      <c r="G40" s="118"/>
      <c r="H40" s="118"/>
      <c r="I40" s="118"/>
      <c r="J40" s="119" t="s">
        <v>445</v>
      </c>
      <c r="K40" s="120"/>
      <c r="L40" s="129">
        <f>SUM(L41:L45)</f>
        <v>26219.089999999997</v>
      </c>
      <c r="M40" s="121">
        <f t="shared" ref="M40:P40" si="70">SUM(M41:M45)</f>
        <v>26219.089999999997</v>
      </c>
      <c r="N40" s="121">
        <f t="shared" si="70"/>
        <v>0</v>
      </c>
      <c r="O40" s="121">
        <f t="shared" si="70"/>
        <v>26219.089999999997</v>
      </c>
      <c r="P40" s="121">
        <f t="shared" si="70"/>
        <v>0</v>
      </c>
      <c r="Q40" s="121">
        <f t="shared" si="23"/>
        <v>0</v>
      </c>
      <c r="R40" s="121">
        <f t="shared" si="24"/>
        <v>100</v>
      </c>
      <c r="S40" s="122">
        <f t="shared" si="25"/>
        <v>0</v>
      </c>
      <c r="T40" s="113">
        <f t="shared" si="7"/>
        <v>26219.089999999997</v>
      </c>
      <c r="V40" s="114" t="e">
        <f t="shared" si="40"/>
        <v>#VALUE!</v>
      </c>
      <c r="Y40" s="219">
        <f t="shared" si="5"/>
        <v>1</v>
      </c>
    </row>
    <row r="41" spans="1:25" s="114" customFormat="1" ht="25.5" x14ac:dyDescent="0.2">
      <c r="A41" s="38" t="s">
        <v>6</v>
      </c>
      <c r="B41" s="38" t="s">
        <v>141</v>
      </c>
      <c r="C41" s="41" t="s">
        <v>142</v>
      </c>
      <c r="D41" s="39" t="s">
        <v>143</v>
      </c>
      <c r="E41" s="123">
        <v>1</v>
      </c>
      <c r="F41" s="124">
        <v>1</v>
      </c>
      <c r="G41" s="125"/>
      <c r="H41" s="124">
        <f t="shared" ref="H41" si="71">F41+G41</f>
        <v>1</v>
      </c>
      <c r="I41" s="125">
        <f t="shared" ref="I41" si="72">ROUND(E41-H41,2)</f>
        <v>0</v>
      </c>
      <c r="J41" s="125">
        <v>271.39999999999998</v>
      </c>
      <c r="K41" s="126">
        <f t="shared" ref="K41:K45" si="73">TRUNC(J41*1.2211,2)</f>
        <v>331.4</v>
      </c>
      <c r="L41" s="126">
        <f>TRUNC(E41*K41,2)</f>
        <v>331.4</v>
      </c>
      <c r="M41" s="127">
        <f t="shared" ref="M41" si="74">ROUND(F41*$K41,2)</f>
        <v>331.4</v>
      </c>
      <c r="N41" s="127">
        <f t="shared" ref="N41" si="75">ROUND(G41*$K41,2)</f>
        <v>0</v>
      </c>
      <c r="O41" s="127">
        <f t="shared" ref="O41" si="76">ROUND(H41*$K41,2)</f>
        <v>331.4</v>
      </c>
      <c r="P41" s="127">
        <f t="shared" si="33"/>
        <v>0</v>
      </c>
      <c r="Q41" s="127">
        <f t="shared" si="23"/>
        <v>0</v>
      </c>
      <c r="R41" s="127">
        <f t="shared" si="24"/>
        <v>100</v>
      </c>
      <c r="S41" s="128">
        <f t="shared" si="25"/>
        <v>0</v>
      </c>
      <c r="T41" s="113">
        <f t="shared" si="7"/>
        <v>331.4</v>
      </c>
      <c r="V41" s="114">
        <f>(E41/180)*41</f>
        <v>0.22777777777777777</v>
      </c>
      <c r="Y41" s="219">
        <f t="shared" si="5"/>
        <v>1</v>
      </c>
    </row>
    <row r="42" spans="1:25" s="114" customFormat="1" ht="12.75" x14ac:dyDescent="0.2">
      <c r="A42" s="38" t="s">
        <v>7</v>
      </c>
      <c r="B42" s="38">
        <v>41598</v>
      </c>
      <c r="C42" s="41" t="s">
        <v>144</v>
      </c>
      <c r="D42" s="39" t="s">
        <v>22</v>
      </c>
      <c r="E42" s="123">
        <v>1</v>
      </c>
      <c r="F42" s="124">
        <v>1</v>
      </c>
      <c r="G42" s="125"/>
      <c r="H42" s="124">
        <f t="shared" ref="H42:H48" si="77">F42+G42</f>
        <v>1</v>
      </c>
      <c r="I42" s="125">
        <f t="shared" ref="I42:I45" si="78">ROUND(E42-H42,2)</f>
        <v>0</v>
      </c>
      <c r="J42" s="125">
        <v>676.19</v>
      </c>
      <c r="K42" s="126">
        <f t="shared" si="73"/>
        <v>825.69</v>
      </c>
      <c r="L42" s="126">
        <f>TRUNC(E42*K42,2)</f>
        <v>825.69</v>
      </c>
      <c r="M42" s="127">
        <f t="shared" ref="M42:M45" si="79">ROUND(F42*$K42,2)</f>
        <v>825.69</v>
      </c>
      <c r="N42" s="127">
        <f t="shared" ref="N42:N45" si="80">ROUND(G42*$K42,2)</f>
        <v>0</v>
      </c>
      <c r="O42" s="127">
        <f t="shared" ref="O42:O45" si="81">ROUND(H42*$K42,2)</f>
        <v>825.69</v>
      </c>
      <c r="P42" s="127">
        <f t="shared" si="33"/>
        <v>0</v>
      </c>
      <c r="Q42" s="127">
        <f t="shared" si="23"/>
        <v>0</v>
      </c>
      <c r="R42" s="127">
        <f t="shared" si="24"/>
        <v>100</v>
      </c>
      <c r="S42" s="128">
        <f t="shared" si="25"/>
        <v>0</v>
      </c>
      <c r="T42" s="113">
        <f t="shared" si="7"/>
        <v>825.69</v>
      </c>
      <c r="V42" s="114">
        <f t="shared" si="40"/>
        <v>0.22777777777777777</v>
      </c>
      <c r="Y42" s="219">
        <f t="shared" si="5"/>
        <v>1</v>
      </c>
    </row>
    <row r="43" spans="1:25" s="114" customFormat="1" ht="12.75" x14ac:dyDescent="0.2">
      <c r="A43" s="37" t="s">
        <v>8</v>
      </c>
      <c r="B43" s="38" t="s">
        <v>145</v>
      </c>
      <c r="C43" s="41" t="s">
        <v>146</v>
      </c>
      <c r="D43" s="39" t="s">
        <v>22</v>
      </c>
      <c r="E43" s="123">
        <v>1</v>
      </c>
      <c r="F43" s="124">
        <v>1</v>
      </c>
      <c r="G43" s="125"/>
      <c r="H43" s="124">
        <f t="shared" si="77"/>
        <v>1</v>
      </c>
      <c r="I43" s="125">
        <f t="shared" si="78"/>
        <v>0</v>
      </c>
      <c r="J43" s="125">
        <v>1183.43</v>
      </c>
      <c r="K43" s="126">
        <f t="shared" si="73"/>
        <v>1445.08</v>
      </c>
      <c r="L43" s="126">
        <f>TRUNC(E43*K43,2)</f>
        <v>1445.08</v>
      </c>
      <c r="M43" s="127">
        <f t="shared" si="79"/>
        <v>1445.08</v>
      </c>
      <c r="N43" s="127">
        <f t="shared" si="80"/>
        <v>0</v>
      </c>
      <c r="O43" s="127">
        <f t="shared" si="81"/>
        <v>1445.08</v>
      </c>
      <c r="P43" s="127">
        <f t="shared" si="33"/>
        <v>0</v>
      </c>
      <c r="Q43" s="127">
        <f t="shared" si="23"/>
        <v>0</v>
      </c>
      <c r="R43" s="127">
        <f t="shared" si="24"/>
        <v>100</v>
      </c>
      <c r="S43" s="128">
        <f t="shared" si="25"/>
        <v>0</v>
      </c>
      <c r="T43" s="113">
        <f t="shared" si="7"/>
        <v>1445.08</v>
      </c>
      <c r="V43" s="114">
        <f t="shared" si="40"/>
        <v>0.22777777777777777</v>
      </c>
      <c r="Y43" s="219">
        <f t="shared" si="5"/>
        <v>1</v>
      </c>
    </row>
    <row r="44" spans="1:25" s="114" customFormat="1" ht="25.5" x14ac:dyDescent="0.2">
      <c r="A44" s="37" t="s">
        <v>147</v>
      </c>
      <c r="B44" s="38" t="s">
        <v>148</v>
      </c>
      <c r="C44" s="37" t="s">
        <v>149</v>
      </c>
      <c r="D44" s="39" t="s">
        <v>22</v>
      </c>
      <c r="E44" s="123">
        <v>1</v>
      </c>
      <c r="F44" s="124">
        <v>1</v>
      </c>
      <c r="G44" s="125"/>
      <c r="H44" s="124">
        <f t="shared" si="77"/>
        <v>1</v>
      </c>
      <c r="I44" s="125">
        <f t="shared" si="78"/>
        <v>0</v>
      </c>
      <c r="J44" s="125">
        <v>3285.01</v>
      </c>
      <c r="K44" s="126">
        <f t="shared" si="73"/>
        <v>4011.32</v>
      </c>
      <c r="L44" s="126">
        <f>TRUNC(E44*K44,2)</f>
        <v>4011.32</v>
      </c>
      <c r="M44" s="127">
        <f t="shared" si="79"/>
        <v>4011.32</v>
      </c>
      <c r="N44" s="127">
        <f t="shared" si="80"/>
        <v>0</v>
      </c>
      <c r="O44" s="127">
        <f t="shared" si="81"/>
        <v>4011.32</v>
      </c>
      <c r="P44" s="127">
        <f t="shared" si="33"/>
        <v>0</v>
      </c>
      <c r="Q44" s="127">
        <f t="shared" si="23"/>
        <v>0</v>
      </c>
      <c r="R44" s="127">
        <f t="shared" si="24"/>
        <v>100</v>
      </c>
      <c r="S44" s="128">
        <f t="shared" si="25"/>
        <v>0</v>
      </c>
      <c r="T44" s="113">
        <f t="shared" si="7"/>
        <v>4011.32</v>
      </c>
      <c r="V44" s="114">
        <f t="shared" si="40"/>
        <v>0.22777777777777777</v>
      </c>
      <c r="Y44" s="219">
        <f t="shared" si="5"/>
        <v>1</v>
      </c>
    </row>
    <row r="45" spans="1:25" s="114" customFormat="1" ht="25.5" x14ac:dyDescent="0.2">
      <c r="A45" s="37" t="s">
        <v>150</v>
      </c>
      <c r="B45" s="38" t="s">
        <v>151</v>
      </c>
      <c r="C45" s="37" t="s">
        <v>152</v>
      </c>
      <c r="D45" s="39" t="s">
        <v>30</v>
      </c>
      <c r="E45" s="123">
        <v>48</v>
      </c>
      <c r="F45" s="124">
        <v>48</v>
      </c>
      <c r="G45" s="125"/>
      <c r="H45" s="124">
        <f t="shared" si="77"/>
        <v>48</v>
      </c>
      <c r="I45" s="125">
        <f t="shared" si="78"/>
        <v>0</v>
      </c>
      <c r="J45" s="125">
        <v>334.5</v>
      </c>
      <c r="K45" s="126">
        <f t="shared" si="73"/>
        <v>408.45</v>
      </c>
      <c r="L45" s="126">
        <f>TRUNC(E45*K45,2)</f>
        <v>19605.599999999999</v>
      </c>
      <c r="M45" s="127">
        <f t="shared" si="79"/>
        <v>19605.599999999999</v>
      </c>
      <c r="N45" s="127">
        <f t="shared" si="80"/>
        <v>0</v>
      </c>
      <c r="O45" s="127">
        <f t="shared" si="81"/>
        <v>19605.599999999999</v>
      </c>
      <c r="P45" s="127">
        <f t="shared" si="33"/>
        <v>0</v>
      </c>
      <c r="Q45" s="127">
        <f t="shared" si="23"/>
        <v>0</v>
      </c>
      <c r="R45" s="127">
        <f t="shared" si="24"/>
        <v>100</v>
      </c>
      <c r="S45" s="128">
        <f t="shared" si="25"/>
        <v>0</v>
      </c>
      <c r="T45" s="113">
        <f t="shared" si="7"/>
        <v>19605.599999999999</v>
      </c>
      <c r="V45" s="114">
        <f t="shared" si="40"/>
        <v>10.933333333333334</v>
      </c>
      <c r="Y45" s="219">
        <f t="shared" si="5"/>
        <v>1</v>
      </c>
    </row>
    <row r="46" spans="1:25" s="114" customFormat="1" ht="12.75" x14ac:dyDescent="0.2">
      <c r="A46" s="48" t="s">
        <v>153</v>
      </c>
      <c r="B46" s="115"/>
      <c r="C46" s="48" t="s">
        <v>154</v>
      </c>
      <c r="D46" s="116"/>
      <c r="E46" s="117" t="s">
        <v>445</v>
      </c>
      <c r="F46" s="118"/>
      <c r="G46" s="118"/>
      <c r="H46" s="118"/>
      <c r="I46" s="118"/>
      <c r="J46" s="119" t="s">
        <v>445</v>
      </c>
      <c r="K46" s="120"/>
      <c r="L46" s="129">
        <f>SUM(L47:L48)</f>
        <v>11920</v>
      </c>
      <c r="M46" s="121">
        <f t="shared" ref="M46:P46" si="82">SUM(M47:M48)</f>
        <v>11920</v>
      </c>
      <c r="N46" s="121">
        <f t="shared" si="82"/>
        <v>0</v>
      </c>
      <c r="O46" s="121">
        <f t="shared" si="82"/>
        <v>11920</v>
      </c>
      <c r="P46" s="121">
        <f t="shared" si="82"/>
        <v>0</v>
      </c>
      <c r="Q46" s="121">
        <f t="shared" si="23"/>
        <v>0</v>
      </c>
      <c r="R46" s="121">
        <f t="shared" si="24"/>
        <v>100</v>
      </c>
      <c r="S46" s="122">
        <f t="shared" si="25"/>
        <v>0</v>
      </c>
      <c r="T46" s="113">
        <f t="shared" si="7"/>
        <v>11920</v>
      </c>
      <c r="V46" s="114" t="e">
        <f t="shared" si="40"/>
        <v>#VALUE!</v>
      </c>
      <c r="Y46" s="219">
        <f t="shared" si="5"/>
        <v>1</v>
      </c>
    </row>
    <row r="47" spans="1:25" s="114" customFormat="1" ht="12.75" x14ac:dyDescent="0.2">
      <c r="A47" s="37" t="s">
        <v>155</v>
      </c>
      <c r="B47" s="38" t="s">
        <v>156</v>
      </c>
      <c r="C47" s="37" t="s">
        <v>157</v>
      </c>
      <c r="D47" s="39" t="s">
        <v>29</v>
      </c>
      <c r="E47" s="123">
        <v>200</v>
      </c>
      <c r="F47" s="125">
        <v>200</v>
      </c>
      <c r="G47" s="125"/>
      <c r="H47" s="124">
        <f t="shared" si="77"/>
        <v>200</v>
      </c>
      <c r="I47" s="125">
        <f t="shared" ref="I47" si="83">ROUND(E47-H47,2)</f>
        <v>0</v>
      </c>
      <c r="J47" s="125">
        <v>2.58</v>
      </c>
      <c r="K47" s="126">
        <f t="shared" ref="K47:K48" si="84">TRUNC(J47*1.2211,2)</f>
        <v>3.15</v>
      </c>
      <c r="L47" s="126">
        <f>TRUNC(E47*K47,2)</f>
        <v>630</v>
      </c>
      <c r="M47" s="127">
        <f t="shared" ref="M47" si="85">ROUND(F47*$K47,2)</f>
        <v>630</v>
      </c>
      <c r="N47" s="127">
        <f t="shared" ref="N47" si="86">ROUND(G47*$K47,2)</f>
        <v>0</v>
      </c>
      <c r="O47" s="127">
        <f t="shared" ref="O47" si="87">ROUND(H47*$K47,2)</f>
        <v>630</v>
      </c>
      <c r="P47" s="127">
        <f t="shared" si="33"/>
        <v>0</v>
      </c>
      <c r="Q47" s="127">
        <f t="shared" si="23"/>
        <v>0</v>
      </c>
      <c r="R47" s="127">
        <f t="shared" si="24"/>
        <v>100</v>
      </c>
      <c r="S47" s="128">
        <f t="shared" si="25"/>
        <v>0</v>
      </c>
      <c r="T47" s="113">
        <f t="shared" si="7"/>
        <v>630</v>
      </c>
      <c r="V47" s="114">
        <f t="shared" si="40"/>
        <v>45.555555555555557</v>
      </c>
      <c r="Y47" s="219">
        <f t="shared" si="5"/>
        <v>1</v>
      </c>
    </row>
    <row r="48" spans="1:25" s="114" customFormat="1" ht="25.5" x14ac:dyDescent="0.2">
      <c r="A48" s="37" t="s">
        <v>158</v>
      </c>
      <c r="B48" s="38" t="s">
        <v>159</v>
      </c>
      <c r="C48" s="37" t="s">
        <v>160</v>
      </c>
      <c r="D48" s="39" t="s">
        <v>29</v>
      </c>
      <c r="E48" s="123">
        <v>200</v>
      </c>
      <c r="F48" s="125">
        <v>200</v>
      </c>
      <c r="G48" s="125"/>
      <c r="H48" s="124">
        <f t="shared" si="77"/>
        <v>200</v>
      </c>
      <c r="I48" s="125">
        <f t="shared" ref="I48" si="88">ROUND(E48-H48,2)</f>
        <v>0</v>
      </c>
      <c r="J48" s="125">
        <v>46.23</v>
      </c>
      <c r="K48" s="126">
        <f t="shared" si="84"/>
        <v>56.45</v>
      </c>
      <c r="L48" s="126">
        <f>TRUNC(E48*K48,2)</f>
        <v>11290</v>
      </c>
      <c r="M48" s="127">
        <f t="shared" ref="M48" si="89">ROUND(F48*$K48,2)</f>
        <v>11290</v>
      </c>
      <c r="N48" s="127">
        <f t="shared" ref="N48" si="90">ROUND(G48*$K48,2)</f>
        <v>0</v>
      </c>
      <c r="O48" s="127">
        <f t="shared" ref="O48" si="91">ROUND(H48*$K48,2)</f>
        <v>11290</v>
      </c>
      <c r="P48" s="127">
        <f t="shared" si="33"/>
        <v>0</v>
      </c>
      <c r="Q48" s="127">
        <f t="shared" si="23"/>
        <v>0</v>
      </c>
      <c r="R48" s="127">
        <f t="shared" si="24"/>
        <v>100</v>
      </c>
      <c r="S48" s="128">
        <f t="shared" si="25"/>
        <v>0</v>
      </c>
      <c r="T48" s="113">
        <f t="shared" si="7"/>
        <v>11290</v>
      </c>
      <c r="V48" s="114">
        <f t="shared" si="40"/>
        <v>45.555555555555557</v>
      </c>
      <c r="Y48" s="219">
        <f t="shared" si="5"/>
        <v>1</v>
      </c>
    </row>
    <row r="49" spans="1:25" customFormat="1" ht="12.75" x14ac:dyDescent="0.2">
      <c r="A49" s="55" t="s">
        <v>92</v>
      </c>
      <c r="B49" s="56"/>
      <c r="C49" s="55" t="s">
        <v>13</v>
      </c>
      <c r="D49" s="57"/>
      <c r="E49" s="80" t="s">
        <v>445</v>
      </c>
      <c r="F49" s="62"/>
      <c r="G49" s="62"/>
      <c r="H49" s="62"/>
      <c r="I49" s="62"/>
      <c r="J49" s="63" t="s">
        <v>445</v>
      </c>
      <c r="K49" s="59"/>
      <c r="L49" s="60">
        <f>L50</f>
        <v>1131946.92</v>
      </c>
      <c r="M49" s="83">
        <f t="shared" ref="M49:P50" si="92">M50</f>
        <v>945771.06</v>
      </c>
      <c r="N49" s="83" t="e">
        <f t="shared" si="92"/>
        <v>#REF!</v>
      </c>
      <c r="O49" s="83" t="e">
        <f t="shared" si="92"/>
        <v>#REF!</v>
      </c>
      <c r="P49" s="83" t="e">
        <f t="shared" si="92"/>
        <v>#REF!</v>
      </c>
      <c r="Q49" s="83" t="e">
        <f t="shared" si="23"/>
        <v>#REF!</v>
      </c>
      <c r="R49" s="83" t="e">
        <f t="shared" si="24"/>
        <v>#REF!</v>
      </c>
      <c r="S49" s="61" t="e">
        <f t="shared" si="25"/>
        <v>#REF!</v>
      </c>
      <c r="T49" s="33" t="e">
        <f t="shared" si="7"/>
        <v>#REF!</v>
      </c>
      <c r="Y49" s="219" t="e">
        <f t="shared" si="5"/>
        <v>#REF!</v>
      </c>
    </row>
    <row r="50" spans="1:25" customFormat="1" ht="12.75" x14ac:dyDescent="0.2">
      <c r="A50" s="48" t="s">
        <v>161</v>
      </c>
      <c r="B50" s="49"/>
      <c r="C50" s="48" t="s">
        <v>13</v>
      </c>
      <c r="D50" s="50"/>
      <c r="E50" s="79" t="s">
        <v>445</v>
      </c>
      <c r="F50" s="66"/>
      <c r="G50" s="66"/>
      <c r="H50" s="66"/>
      <c r="I50" s="66"/>
      <c r="J50" s="67" t="s">
        <v>445</v>
      </c>
      <c r="K50" s="52"/>
      <c r="L50" s="53">
        <f>L51</f>
        <v>1131946.92</v>
      </c>
      <c r="M50" s="84">
        <f t="shared" si="92"/>
        <v>945771.06</v>
      </c>
      <c r="N50" s="84" t="e">
        <f t="shared" si="92"/>
        <v>#REF!</v>
      </c>
      <c r="O50" s="84" t="e">
        <f t="shared" si="92"/>
        <v>#REF!</v>
      </c>
      <c r="P50" s="84" t="e">
        <f t="shared" si="92"/>
        <v>#REF!</v>
      </c>
      <c r="Q50" s="84" t="e">
        <f t="shared" si="23"/>
        <v>#REF!</v>
      </c>
      <c r="R50" s="84" t="e">
        <f t="shared" si="24"/>
        <v>#REF!</v>
      </c>
      <c r="S50" s="54" t="e">
        <f t="shared" si="25"/>
        <v>#REF!</v>
      </c>
      <c r="T50" s="33" t="e">
        <f t="shared" si="7"/>
        <v>#REF!</v>
      </c>
      <c r="Y50" s="219" t="e">
        <f t="shared" si="5"/>
        <v>#REF!</v>
      </c>
    </row>
    <row r="51" spans="1:25" customFormat="1" ht="12.75" x14ac:dyDescent="0.2">
      <c r="A51" s="70" t="s">
        <v>162</v>
      </c>
      <c r="B51" s="71"/>
      <c r="C51" s="70" t="s">
        <v>163</v>
      </c>
      <c r="D51" s="72"/>
      <c r="E51" s="81" t="s">
        <v>445</v>
      </c>
      <c r="F51" s="73"/>
      <c r="G51" s="73"/>
      <c r="H51" s="73"/>
      <c r="I51" s="73"/>
      <c r="J51" s="74" t="s">
        <v>445</v>
      </c>
      <c r="K51" s="75"/>
      <c r="L51" s="76">
        <f>SUM(L52:L60)</f>
        <v>1131946.92</v>
      </c>
      <c r="M51" s="85">
        <f t="shared" ref="M51:P51" si="93">SUM(M52:M60)</f>
        <v>945771.06</v>
      </c>
      <c r="N51" s="85" t="e">
        <f t="shared" si="93"/>
        <v>#REF!</v>
      </c>
      <c r="O51" s="85" t="e">
        <f t="shared" si="93"/>
        <v>#REF!</v>
      </c>
      <c r="P51" s="85" t="e">
        <f t="shared" si="93"/>
        <v>#REF!</v>
      </c>
      <c r="Q51" s="85" t="e">
        <f t="shared" si="23"/>
        <v>#REF!</v>
      </c>
      <c r="R51" s="85" t="e">
        <f t="shared" si="24"/>
        <v>#REF!</v>
      </c>
      <c r="S51" s="77" t="e">
        <f t="shared" si="25"/>
        <v>#REF!</v>
      </c>
      <c r="T51" s="33" t="e">
        <f t="shared" si="7"/>
        <v>#REF!</v>
      </c>
      <c r="Y51" s="219" t="e">
        <f t="shared" si="5"/>
        <v>#REF!</v>
      </c>
    </row>
    <row r="52" spans="1:25" customFormat="1" ht="25.5" x14ac:dyDescent="0.2">
      <c r="A52" s="37" t="s">
        <v>164</v>
      </c>
      <c r="B52" s="35">
        <v>5501710</v>
      </c>
      <c r="C52" s="37" t="s">
        <v>165</v>
      </c>
      <c r="D52" s="39" t="s">
        <v>14</v>
      </c>
      <c r="E52" s="78">
        <v>12369.67</v>
      </c>
      <c r="F52" s="45">
        <v>12369.66</v>
      </c>
      <c r="G52" s="45"/>
      <c r="H52" s="45">
        <f t="shared" ref="H52" si="94">F52+G52</f>
        <v>12369.66</v>
      </c>
      <c r="I52" s="44">
        <f t="shared" ref="I52" si="95">ROUND(E52-H52,2)</f>
        <v>0.01</v>
      </c>
      <c r="J52" s="44">
        <v>2.92</v>
      </c>
      <c r="K52" s="40">
        <f t="shared" ref="K52:K60" si="96">TRUNC(J52*1.2211,2)</f>
        <v>3.56</v>
      </c>
      <c r="L52" s="40">
        <f t="shared" ref="L52:L60" si="97">TRUNC(E52*K52,2)</f>
        <v>44036.02</v>
      </c>
      <c r="M52" s="82">
        <f t="shared" ref="M52" si="98">ROUND(F52*$K52,2)</f>
        <v>44035.99</v>
      </c>
      <c r="N52" s="82">
        <f t="shared" ref="N52" si="99">ROUND(G52*$K52,2)</f>
        <v>0</v>
      </c>
      <c r="O52" s="82">
        <f t="shared" ref="O52" si="100">ROUND(H52*$K52,2)</f>
        <v>44035.99</v>
      </c>
      <c r="P52" s="82">
        <f>L52-O52</f>
        <v>2.9999999998835847E-2</v>
      </c>
      <c r="Q52" s="82">
        <f t="shared" si="23"/>
        <v>0</v>
      </c>
      <c r="R52" s="82">
        <f t="shared" si="24"/>
        <v>99.999931873952292</v>
      </c>
      <c r="S52" s="36">
        <f t="shared" si="25"/>
        <v>6.812604771919862E-5</v>
      </c>
      <c r="T52" s="33">
        <f t="shared" si="7"/>
        <v>44035.99</v>
      </c>
      <c r="Y52" s="219">
        <f t="shared" si="5"/>
        <v>0.99999931873952286</v>
      </c>
    </row>
    <row r="53" spans="1:25" customFormat="1" ht="38.25" x14ac:dyDescent="0.2">
      <c r="A53" s="37" t="s">
        <v>166</v>
      </c>
      <c r="B53" s="35">
        <v>5501875</v>
      </c>
      <c r="C53" s="37" t="s">
        <v>167</v>
      </c>
      <c r="D53" s="39" t="s">
        <v>14</v>
      </c>
      <c r="E53" s="78">
        <v>15514.4</v>
      </c>
      <c r="F53" s="45">
        <v>15514.4</v>
      </c>
      <c r="G53" s="45"/>
      <c r="H53" s="45">
        <f t="shared" ref="H53:H60" si="101">F53+G53</f>
        <v>15514.4</v>
      </c>
      <c r="I53" s="44">
        <f t="shared" ref="I53:I60" si="102">ROUND(E53-H53,2)</f>
        <v>0</v>
      </c>
      <c r="J53" s="44">
        <v>9.4600000000000009</v>
      </c>
      <c r="K53" s="40">
        <f t="shared" si="96"/>
        <v>11.55</v>
      </c>
      <c r="L53" s="40">
        <f t="shared" si="97"/>
        <v>179191.32</v>
      </c>
      <c r="M53" s="82">
        <f t="shared" ref="M53:M60" si="103">ROUND(F53*$K53,2)</f>
        <v>179191.32</v>
      </c>
      <c r="N53" s="82">
        <f t="shared" ref="N53:N60" si="104">ROUND(G53*$K53,2)</f>
        <v>0</v>
      </c>
      <c r="O53" s="82">
        <f t="shared" ref="O53:O60" si="105">ROUND(H53*$K53,2)</f>
        <v>179191.32</v>
      </c>
      <c r="P53" s="82">
        <f t="shared" ref="P53:P60" si="106">ROUND(I53*$K53,2)</f>
        <v>0</v>
      </c>
      <c r="Q53" s="82">
        <f t="shared" si="23"/>
        <v>0</v>
      </c>
      <c r="R53" s="82">
        <f t="shared" si="24"/>
        <v>100</v>
      </c>
      <c r="S53" s="36">
        <f t="shared" si="25"/>
        <v>0</v>
      </c>
      <c r="T53" s="33">
        <f t="shared" si="7"/>
        <v>179191.32</v>
      </c>
      <c r="Y53" s="219">
        <f t="shared" si="5"/>
        <v>1</v>
      </c>
    </row>
    <row r="54" spans="1:25" customFormat="1" ht="25.5" x14ac:dyDescent="0.2">
      <c r="A54" s="37" t="s">
        <v>168</v>
      </c>
      <c r="B54" s="35">
        <v>5501876</v>
      </c>
      <c r="C54" s="37" t="s">
        <v>169</v>
      </c>
      <c r="D54" s="39" t="s">
        <v>14</v>
      </c>
      <c r="E54" s="78">
        <v>3823.23</v>
      </c>
      <c r="F54" s="45">
        <v>3703.4399999999996</v>
      </c>
      <c r="G54" s="45"/>
      <c r="H54" s="45">
        <f t="shared" si="101"/>
        <v>3703.4399999999996</v>
      </c>
      <c r="I54" s="44">
        <f t="shared" si="102"/>
        <v>119.79</v>
      </c>
      <c r="J54" s="44">
        <v>9.91</v>
      </c>
      <c r="K54" s="40">
        <f t="shared" si="96"/>
        <v>12.1</v>
      </c>
      <c r="L54" s="40">
        <f t="shared" si="97"/>
        <v>46261.08</v>
      </c>
      <c r="M54" s="82">
        <f t="shared" si="103"/>
        <v>44811.62</v>
      </c>
      <c r="N54" s="82">
        <f t="shared" si="104"/>
        <v>0</v>
      </c>
      <c r="O54" s="82">
        <f t="shared" si="105"/>
        <v>44811.62</v>
      </c>
      <c r="P54" s="82">
        <f t="shared" si="106"/>
        <v>1449.46</v>
      </c>
      <c r="Q54" s="82">
        <f t="shared" si="23"/>
        <v>0</v>
      </c>
      <c r="R54" s="82">
        <f t="shared" si="24"/>
        <v>96.866783049595909</v>
      </c>
      <c r="S54" s="36">
        <f t="shared" si="25"/>
        <v>3.1332169504040976</v>
      </c>
      <c r="T54" s="33">
        <f t="shared" si="7"/>
        <v>44811.62</v>
      </c>
      <c r="Y54" s="219">
        <f t="shared" si="5"/>
        <v>0.96866783049595906</v>
      </c>
    </row>
    <row r="55" spans="1:25" customFormat="1" ht="38.25" x14ac:dyDescent="0.2">
      <c r="A55" s="37" t="s">
        <v>170</v>
      </c>
      <c r="B55" s="35">
        <v>5501878</v>
      </c>
      <c r="C55" s="37" t="s">
        <v>171</v>
      </c>
      <c r="D55" s="39" t="s">
        <v>14</v>
      </c>
      <c r="E55" s="78">
        <v>607.91</v>
      </c>
      <c r="F55" s="45">
        <v>453.79</v>
      </c>
      <c r="G55" s="45"/>
      <c r="H55" s="45">
        <f t="shared" si="101"/>
        <v>453.79</v>
      </c>
      <c r="I55" s="44">
        <f t="shared" si="102"/>
        <v>154.12</v>
      </c>
      <c r="J55" s="44">
        <v>10.96</v>
      </c>
      <c r="K55" s="40">
        <f t="shared" si="96"/>
        <v>13.38</v>
      </c>
      <c r="L55" s="40">
        <f t="shared" si="97"/>
        <v>8133.83</v>
      </c>
      <c r="M55" s="82">
        <f t="shared" si="103"/>
        <v>6071.71</v>
      </c>
      <c r="N55" s="82">
        <f t="shared" si="104"/>
        <v>0</v>
      </c>
      <c r="O55" s="82">
        <f t="shared" si="105"/>
        <v>6071.71</v>
      </c>
      <c r="P55" s="82">
        <f>L55-O55</f>
        <v>2062.12</v>
      </c>
      <c r="Q55" s="82">
        <f t="shared" si="23"/>
        <v>0</v>
      </c>
      <c r="R55" s="82">
        <f t="shared" si="24"/>
        <v>74.647613731784418</v>
      </c>
      <c r="S55" s="36">
        <f t="shared" si="25"/>
        <v>25.352386268215589</v>
      </c>
      <c r="T55" s="33">
        <f t="shared" si="7"/>
        <v>6071.71</v>
      </c>
      <c r="Y55" s="219">
        <f t="shared" si="5"/>
        <v>0.74647613731784412</v>
      </c>
    </row>
    <row r="56" spans="1:25" customFormat="1" ht="25.5" x14ac:dyDescent="0.2">
      <c r="A56" s="37" t="s">
        <v>172</v>
      </c>
      <c r="B56" s="35">
        <v>5501880</v>
      </c>
      <c r="C56" s="37" t="s">
        <v>173</v>
      </c>
      <c r="D56" s="39" t="s">
        <v>14</v>
      </c>
      <c r="E56" s="78">
        <v>13645</v>
      </c>
      <c r="F56" s="45">
        <v>13574.38</v>
      </c>
      <c r="G56" s="45"/>
      <c r="H56" s="45">
        <f t="shared" si="101"/>
        <v>13574.38</v>
      </c>
      <c r="I56" s="44">
        <f t="shared" si="102"/>
        <v>70.62</v>
      </c>
      <c r="J56" s="44">
        <v>11.93</v>
      </c>
      <c r="K56" s="40">
        <f t="shared" si="96"/>
        <v>14.56</v>
      </c>
      <c r="L56" s="40">
        <f t="shared" si="97"/>
        <v>198671.2</v>
      </c>
      <c r="M56" s="82">
        <f t="shared" si="103"/>
        <v>197642.97</v>
      </c>
      <c r="N56" s="82">
        <f t="shared" si="104"/>
        <v>0</v>
      </c>
      <c r="O56" s="82">
        <f t="shared" si="105"/>
        <v>197642.97</v>
      </c>
      <c r="P56" s="82">
        <f t="shared" si="106"/>
        <v>1028.23</v>
      </c>
      <c r="Q56" s="82">
        <f t="shared" si="23"/>
        <v>0</v>
      </c>
      <c r="R56" s="82">
        <f t="shared" si="24"/>
        <v>99.482446373706907</v>
      </c>
      <c r="S56" s="36">
        <f t="shared" si="25"/>
        <v>0.51755362629309132</v>
      </c>
      <c r="T56" s="33">
        <f t="shared" si="7"/>
        <v>197642.97</v>
      </c>
      <c r="Y56" s="219">
        <f t="shared" si="5"/>
        <v>0.99482446373706901</v>
      </c>
    </row>
    <row r="57" spans="1:25" customFormat="1" ht="38.25" x14ac:dyDescent="0.2">
      <c r="A57" s="37" t="s">
        <v>174</v>
      </c>
      <c r="B57" s="38">
        <v>5501881</v>
      </c>
      <c r="C57" s="37" t="s">
        <v>175</v>
      </c>
      <c r="D57" s="39" t="s">
        <v>14</v>
      </c>
      <c r="E57" s="78">
        <v>2746</v>
      </c>
      <c r="F57" s="45">
        <v>2606.4300000000003</v>
      </c>
      <c r="G57" s="45"/>
      <c r="H57" s="45">
        <f t="shared" si="101"/>
        <v>2606.4300000000003</v>
      </c>
      <c r="I57" s="44">
        <f t="shared" si="102"/>
        <v>139.57</v>
      </c>
      <c r="J57" s="44">
        <v>12.2</v>
      </c>
      <c r="K57" s="40">
        <f t="shared" si="96"/>
        <v>14.89</v>
      </c>
      <c r="L57" s="40">
        <f t="shared" si="97"/>
        <v>40887.94</v>
      </c>
      <c r="M57" s="82">
        <f t="shared" si="103"/>
        <v>38809.74</v>
      </c>
      <c r="N57" s="82">
        <f t="shared" si="104"/>
        <v>0</v>
      </c>
      <c r="O57" s="82">
        <f t="shared" si="105"/>
        <v>38809.74</v>
      </c>
      <c r="P57" s="82">
        <f t="shared" si="106"/>
        <v>2078.1999999999998</v>
      </c>
      <c r="Q57" s="82">
        <f t="shared" si="23"/>
        <v>0</v>
      </c>
      <c r="R57" s="82">
        <f t="shared" si="24"/>
        <v>94.917327701028711</v>
      </c>
      <c r="S57" s="36">
        <f t="shared" si="25"/>
        <v>5.0826722989712847</v>
      </c>
      <c r="T57" s="33">
        <f t="shared" si="7"/>
        <v>38809.740000000005</v>
      </c>
      <c r="Y57" s="219">
        <f t="shared" si="5"/>
        <v>0.94917327701028709</v>
      </c>
    </row>
    <row r="58" spans="1:25" customFormat="1" ht="38.25" x14ac:dyDescent="0.2">
      <c r="A58" s="41" t="s">
        <v>176</v>
      </c>
      <c r="B58" s="38">
        <v>5501885</v>
      </c>
      <c r="C58" s="41" t="s">
        <v>177</v>
      </c>
      <c r="D58" s="39" t="s">
        <v>14</v>
      </c>
      <c r="E58" s="78">
        <v>16454</v>
      </c>
      <c r="F58" s="45">
        <v>16235.559999999998</v>
      </c>
      <c r="G58" s="45"/>
      <c r="H58" s="45">
        <f t="shared" si="101"/>
        <v>16235.559999999998</v>
      </c>
      <c r="I58" s="44">
        <f t="shared" si="102"/>
        <v>218.44</v>
      </c>
      <c r="J58" s="44">
        <v>13.93</v>
      </c>
      <c r="K58" s="40">
        <f t="shared" si="96"/>
        <v>17</v>
      </c>
      <c r="L58" s="40">
        <f t="shared" si="97"/>
        <v>279718</v>
      </c>
      <c r="M58" s="82">
        <f t="shared" si="103"/>
        <v>276004.52</v>
      </c>
      <c r="N58" s="82">
        <f t="shared" si="104"/>
        <v>0</v>
      </c>
      <c r="O58" s="82">
        <f t="shared" si="105"/>
        <v>276004.52</v>
      </c>
      <c r="P58" s="82">
        <f t="shared" si="106"/>
        <v>3713.48</v>
      </c>
      <c r="Q58" s="82">
        <f t="shared" si="23"/>
        <v>0</v>
      </c>
      <c r="R58" s="82">
        <f t="shared" si="24"/>
        <v>98.67242008022366</v>
      </c>
      <c r="S58" s="36">
        <f t="shared" si="25"/>
        <v>1.327579919776346</v>
      </c>
      <c r="T58" s="33">
        <f t="shared" si="7"/>
        <v>276004.52</v>
      </c>
      <c r="U58">
        <f>88000/K58</f>
        <v>5176.4705882352937</v>
      </c>
      <c r="Y58" s="219">
        <f t="shared" si="5"/>
        <v>0.98672420080223655</v>
      </c>
    </row>
    <row r="59" spans="1:25" customFormat="1" ht="38.25" x14ac:dyDescent="0.2">
      <c r="A59" s="41" t="s">
        <v>178</v>
      </c>
      <c r="B59" s="38">
        <v>5915320</v>
      </c>
      <c r="C59" s="41" t="s">
        <v>179</v>
      </c>
      <c r="D59" s="39" t="s">
        <v>120</v>
      </c>
      <c r="E59" s="78">
        <v>6388.5</v>
      </c>
      <c r="F59" s="45">
        <v>0</v>
      </c>
      <c r="G59" s="45"/>
      <c r="H59" s="45">
        <f t="shared" si="101"/>
        <v>0</v>
      </c>
      <c r="I59" s="44">
        <f t="shared" si="102"/>
        <v>6388.5</v>
      </c>
      <c r="J59" s="44">
        <v>0.71</v>
      </c>
      <c r="K59" s="40">
        <f t="shared" si="96"/>
        <v>0.86</v>
      </c>
      <c r="L59" s="40">
        <f t="shared" si="97"/>
        <v>5494.11</v>
      </c>
      <c r="M59" s="82">
        <f t="shared" si="103"/>
        <v>0</v>
      </c>
      <c r="N59" s="82">
        <f t="shared" si="104"/>
        <v>0</v>
      </c>
      <c r="O59" s="82">
        <f t="shared" si="105"/>
        <v>0</v>
      </c>
      <c r="P59" s="82">
        <f t="shared" si="106"/>
        <v>5494.11</v>
      </c>
      <c r="Q59" s="82">
        <f t="shared" si="23"/>
        <v>0</v>
      </c>
      <c r="R59" s="82">
        <f t="shared" si="24"/>
        <v>0</v>
      </c>
      <c r="S59" s="36">
        <f t="shared" si="25"/>
        <v>100</v>
      </c>
      <c r="T59" s="33">
        <f t="shared" si="7"/>
        <v>0</v>
      </c>
      <c r="Y59" s="219">
        <f t="shared" si="5"/>
        <v>0</v>
      </c>
    </row>
    <row r="60" spans="1:25" customFormat="1" ht="12.75" x14ac:dyDescent="0.2">
      <c r="A60" s="37" t="s">
        <v>180</v>
      </c>
      <c r="B60" s="225" t="s">
        <v>181</v>
      </c>
      <c r="C60" s="225"/>
      <c r="D60" s="39" t="s">
        <v>14</v>
      </c>
      <c r="E60" s="78">
        <v>57918</v>
      </c>
      <c r="F60" s="45">
        <v>27979.471599999997</v>
      </c>
      <c r="G60" s="45" t="e">
        <f>#REF!+#REF!</f>
        <v>#REF!</v>
      </c>
      <c r="H60" s="45" t="e">
        <f t="shared" si="101"/>
        <v>#REF!</v>
      </c>
      <c r="I60" s="44" t="e">
        <f t="shared" si="102"/>
        <v>#REF!</v>
      </c>
      <c r="J60" s="44">
        <v>4.66</v>
      </c>
      <c r="K60" s="40">
        <f t="shared" si="96"/>
        <v>5.69</v>
      </c>
      <c r="L60" s="40">
        <f t="shared" si="97"/>
        <v>329553.42</v>
      </c>
      <c r="M60" s="82">
        <f t="shared" si="103"/>
        <v>159203.19</v>
      </c>
      <c r="N60" s="82" t="e">
        <f t="shared" si="104"/>
        <v>#REF!</v>
      </c>
      <c r="O60" s="82" t="e">
        <f t="shared" si="105"/>
        <v>#REF!</v>
      </c>
      <c r="P60" s="82" t="e">
        <f t="shared" si="106"/>
        <v>#REF!</v>
      </c>
      <c r="Q60" s="82" t="e">
        <f t="shared" si="23"/>
        <v>#REF!</v>
      </c>
      <c r="R60" s="82" t="e">
        <f t="shared" si="24"/>
        <v>#REF!</v>
      </c>
      <c r="S60" s="36" t="e">
        <f t="shared" si="25"/>
        <v>#REF!</v>
      </c>
      <c r="T60" s="33" t="e">
        <f t="shared" si="7"/>
        <v>#REF!</v>
      </c>
      <c r="Y60" s="219" t="e">
        <f t="shared" si="5"/>
        <v>#REF!</v>
      </c>
    </row>
    <row r="61" spans="1:25" customFormat="1" ht="12.75" x14ac:dyDescent="0.2">
      <c r="A61" s="55" t="s">
        <v>41</v>
      </c>
      <c r="B61" s="56"/>
      <c r="C61" s="55" t="s">
        <v>182</v>
      </c>
      <c r="D61" s="57"/>
      <c r="E61" s="80" t="s">
        <v>445</v>
      </c>
      <c r="F61" s="62"/>
      <c r="G61" s="62"/>
      <c r="H61" s="62"/>
      <c r="I61" s="62"/>
      <c r="J61" s="63" t="s">
        <v>445</v>
      </c>
      <c r="K61" s="59"/>
      <c r="L61" s="83">
        <f>L62</f>
        <v>2093699.4400000006</v>
      </c>
      <c r="M61" s="83">
        <f t="shared" ref="M61:P61" si="107">M62</f>
        <v>534503.3899999999</v>
      </c>
      <c r="N61" s="83">
        <f t="shared" si="107"/>
        <v>120631.20999999999</v>
      </c>
      <c r="O61" s="83">
        <f t="shared" si="107"/>
        <v>655134.60000000009</v>
      </c>
      <c r="P61" s="83">
        <f t="shared" si="107"/>
        <v>1438566.6400000001</v>
      </c>
      <c r="Q61" s="83">
        <f t="shared" si="23"/>
        <v>5.7616297590450687</v>
      </c>
      <c r="R61" s="83">
        <f t="shared" si="24"/>
        <v>31.290766357562759</v>
      </c>
      <c r="S61" s="61">
        <f t="shared" si="25"/>
        <v>68.709319614662533</v>
      </c>
      <c r="T61" s="33">
        <f t="shared" si="7"/>
        <v>655132.80000000051</v>
      </c>
      <c r="Y61" s="219">
        <f t="shared" si="5"/>
        <v>0.3129076635756276</v>
      </c>
    </row>
    <row r="62" spans="1:25" customFormat="1" ht="12.75" x14ac:dyDescent="0.2">
      <c r="A62" s="48" t="s">
        <v>42</v>
      </c>
      <c r="B62" s="49"/>
      <c r="C62" s="48" t="s">
        <v>182</v>
      </c>
      <c r="D62" s="50"/>
      <c r="E62" s="79" t="s">
        <v>445</v>
      </c>
      <c r="F62" s="66"/>
      <c r="G62" s="66"/>
      <c r="H62" s="66"/>
      <c r="I62" s="66"/>
      <c r="J62" s="67" t="s">
        <v>445</v>
      </c>
      <c r="K62" s="52"/>
      <c r="L62" s="84">
        <f>L63+L72+L113+L120+L124</f>
        <v>2093699.4400000006</v>
      </c>
      <c r="M62" s="84">
        <f t="shared" ref="M62:P62" si="108">M63+M72+M113+M120+M124</f>
        <v>534503.3899999999</v>
      </c>
      <c r="N62" s="84">
        <f t="shared" si="108"/>
        <v>120631.20999999999</v>
      </c>
      <c r="O62" s="84">
        <f t="shared" si="108"/>
        <v>655134.60000000009</v>
      </c>
      <c r="P62" s="84">
        <f t="shared" si="108"/>
        <v>1438566.6400000001</v>
      </c>
      <c r="Q62" s="84">
        <f t="shared" si="23"/>
        <v>5.7616297590450687</v>
      </c>
      <c r="R62" s="84">
        <f t="shared" si="24"/>
        <v>31.290766357562759</v>
      </c>
      <c r="S62" s="54">
        <f t="shared" si="25"/>
        <v>68.709319614662533</v>
      </c>
      <c r="T62" s="33">
        <f t="shared" si="7"/>
        <v>655132.80000000051</v>
      </c>
      <c r="Y62" s="219">
        <f t="shared" si="5"/>
        <v>0.3129076635756276</v>
      </c>
    </row>
    <row r="63" spans="1:25" customFormat="1" ht="12.75" x14ac:dyDescent="0.2">
      <c r="A63" s="70" t="s">
        <v>43</v>
      </c>
      <c r="B63" s="71"/>
      <c r="C63" s="70" t="s">
        <v>183</v>
      </c>
      <c r="D63" s="72"/>
      <c r="E63" s="81" t="s">
        <v>445</v>
      </c>
      <c r="F63" s="73"/>
      <c r="G63" s="73"/>
      <c r="H63" s="73"/>
      <c r="I63" s="73"/>
      <c r="J63" s="74" t="s">
        <v>445</v>
      </c>
      <c r="K63" s="75"/>
      <c r="L63" s="85">
        <f>SUM(L64:L71)</f>
        <v>164896.78</v>
      </c>
      <c r="M63" s="85">
        <f t="shared" ref="M63:P63" si="109">SUM(M64:M71)</f>
        <v>23656.17</v>
      </c>
      <c r="N63" s="85">
        <f t="shared" si="109"/>
        <v>0</v>
      </c>
      <c r="O63" s="85">
        <f t="shared" si="109"/>
        <v>23656.17</v>
      </c>
      <c r="P63" s="85">
        <f t="shared" si="109"/>
        <v>141240.5</v>
      </c>
      <c r="Q63" s="85">
        <f t="shared" si="23"/>
        <v>0</v>
      </c>
      <c r="R63" s="85">
        <f t="shared" si="24"/>
        <v>14.346047266659784</v>
      </c>
      <c r="S63" s="77">
        <f t="shared" si="25"/>
        <v>85.653886024942395</v>
      </c>
      <c r="T63" s="33">
        <f t="shared" si="7"/>
        <v>23656.28</v>
      </c>
      <c r="Y63" s="219">
        <f t="shared" si="5"/>
        <v>0.14346047266659784</v>
      </c>
    </row>
    <row r="64" spans="1:25" customFormat="1" ht="25.5" x14ac:dyDescent="0.2">
      <c r="A64" s="37" t="s">
        <v>184</v>
      </c>
      <c r="B64" s="38" t="s">
        <v>185</v>
      </c>
      <c r="C64" s="37" t="s">
        <v>186</v>
      </c>
      <c r="D64" s="39" t="s">
        <v>29</v>
      </c>
      <c r="E64" s="78">
        <v>1040</v>
      </c>
      <c r="F64" s="45">
        <v>0</v>
      </c>
      <c r="G64" s="45"/>
      <c r="H64" s="45">
        <f t="shared" ref="H64" si="110">F64+G64</f>
        <v>0</v>
      </c>
      <c r="I64" s="44">
        <f t="shared" ref="I64" si="111">ROUND(E64-H64,2)</f>
        <v>1040</v>
      </c>
      <c r="J64" s="44">
        <v>31.47</v>
      </c>
      <c r="K64" s="40">
        <f t="shared" ref="K64:K71" si="112">TRUNC(J64*1.2211,2)</f>
        <v>38.42</v>
      </c>
      <c r="L64" s="40">
        <f t="shared" ref="L64:L71" si="113">TRUNC(E64*K64,2)</f>
        <v>39956.800000000003</v>
      </c>
      <c r="M64" s="82">
        <f t="shared" ref="M64" si="114">ROUND(F64*$K64,2)</f>
        <v>0</v>
      </c>
      <c r="N64" s="82">
        <f t="shared" ref="N64" si="115">ROUND(G64*$K64,2)</f>
        <v>0</v>
      </c>
      <c r="O64" s="82">
        <f t="shared" ref="O64" si="116">ROUND(H64*$K64,2)</f>
        <v>0</v>
      </c>
      <c r="P64" s="82">
        <f t="shared" ref="P64:P71" si="117">ROUND(I64*$K64,2)</f>
        <v>39956.800000000003</v>
      </c>
      <c r="Q64" s="82">
        <f t="shared" si="23"/>
        <v>0</v>
      </c>
      <c r="R64" s="82">
        <f t="shared" si="24"/>
        <v>0</v>
      </c>
      <c r="S64" s="36">
        <f t="shared" si="25"/>
        <v>100</v>
      </c>
      <c r="T64" s="33">
        <f t="shared" si="7"/>
        <v>0</v>
      </c>
      <c r="Y64" s="219">
        <f t="shared" si="5"/>
        <v>0</v>
      </c>
    </row>
    <row r="65" spans="1:25" customFormat="1" ht="12.75" x14ac:dyDescent="0.2">
      <c r="A65" s="37" t="s">
        <v>187</v>
      </c>
      <c r="B65" s="38" t="s">
        <v>188</v>
      </c>
      <c r="C65" s="37" t="s">
        <v>189</v>
      </c>
      <c r="D65" s="39" t="s">
        <v>190</v>
      </c>
      <c r="E65" s="78">
        <v>2329</v>
      </c>
      <c r="F65" s="45">
        <v>0</v>
      </c>
      <c r="G65" s="45"/>
      <c r="H65" s="45">
        <f t="shared" ref="H65:H71" si="118">F65+G65</f>
        <v>0</v>
      </c>
      <c r="I65" s="44">
        <f t="shared" ref="I65:I71" si="119">ROUND(E65-H65,2)</f>
        <v>2329</v>
      </c>
      <c r="J65" s="44">
        <v>22</v>
      </c>
      <c r="K65" s="40">
        <f t="shared" si="112"/>
        <v>26.86</v>
      </c>
      <c r="L65" s="40">
        <f t="shared" si="113"/>
        <v>62556.94</v>
      </c>
      <c r="M65" s="82">
        <f t="shared" ref="M65:M71" si="120">ROUND(F65*$K65,2)</f>
        <v>0</v>
      </c>
      <c r="N65" s="82">
        <f t="shared" ref="N65:N71" si="121">ROUND(G65*$K65,2)</f>
        <v>0</v>
      </c>
      <c r="O65" s="82">
        <f t="shared" ref="O65:O71" si="122">ROUND(H65*$K65,2)</f>
        <v>0</v>
      </c>
      <c r="P65" s="82">
        <f t="shared" si="117"/>
        <v>62556.94</v>
      </c>
      <c r="Q65" s="82">
        <f t="shared" si="23"/>
        <v>0</v>
      </c>
      <c r="R65" s="82">
        <f t="shared" si="24"/>
        <v>0</v>
      </c>
      <c r="S65" s="36">
        <f t="shared" si="25"/>
        <v>100</v>
      </c>
      <c r="T65" s="33">
        <f t="shared" si="7"/>
        <v>0</v>
      </c>
      <c r="Y65" s="219">
        <f t="shared" si="5"/>
        <v>0</v>
      </c>
    </row>
    <row r="66" spans="1:25" customFormat="1" ht="25.5" x14ac:dyDescent="0.2">
      <c r="A66" s="37" t="s">
        <v>191</v>
      </c>
      <c r="B66" s="38" t="s">
        <v>192</v>
      </c>
      <c r="C66" s="37" t="s">
        <v>193</v>
      </c>
      <c r="D66" s="39" t="s">
        <v>14</v>
      </c>
      <c r="E66" s="78">
        <v>1240</v>
      </c>
      <c r="F66" s="45">
        <v>846.57000000000016</v>
      </c>
      <c r="G66" s="45"/>
      <c r="H66" s="45">
        <f t="shared" si="118"/>
        <v>846.57000000000016</v>
      </c>
      <c r="I66" s="44">
        <f t="shared" si="119"/>
        <v>393.43</v>
      </c>
      <c r="J66" s="44">
        <v>9.73</v>
      </c>
      <c r="K66" s="40">
        <f t="shared" si="112"/>
        <v>11.88</v>
      </c>
      <c r="L66" s="40">
        <f t="shared" si="113"/>
        <v>14731.2</v>
      </c>
      <c r="M66" s="82">
        <f t="shared" si="120"/>
        <v>10057.25</v>
      </c>
      <c r="N66" s="82">
        <f t="shared" si="121"/>
        <v>0</v>
      </c>
      <c r="O66" s="82">
        <f t="shared" si="122"/>
        <v>10057.25</v>
      </c>
      <c r="P66" s="82">
        <f t="shared" si="117"/>
        <v>4673.95</v>
      </c>
      <c r="Q66" s="82">
        <f t="shared" si="23"/>
        <v>0</v>
      </c>
      <c r="R66" s="82">
        <f t="shared" si="24"/>
        <v>68.271763332247204</v>
      </c>
      <c r="S66" s="36">
        <f t="shared" si="25"/>
        <v>31.728236667752796</v>
      </c>
      <c r="T66" s="33">
        <f t="shared" si="7"/>
        <v>10057.25</v>
      </c>
      <c r="Y66" s="219">
        <f t="shared" si="5"/>
        <v>0.68271763332247204</v>
      </c>
    </row>
    <row r="67" spans="1:25" customFormat="1" ht="25.5" x14ac:dyDescent="0.2">
      <c r="A67" s="37" t="s">
        <v>194</v>
      </c>
      <c r="B67" s="38" t="s">
        <v>195</v>
      </c>
      <c r="C67" s="37" t="s">
        <v>196</v>
      </c>
      <c r="D67" s="39" t="s">
        <v>14</v>
      </c>
      <c r="E67" s="78">
        <v>153</v>
      </c>
      <c r="F67" s="45">
        <v>153</v>
      </c>
      <c r="G67" s="45"/>
      <c r="H67" s="45">
        <f t="shared" si="118"/>
        <v>153</v>
      </c>
      <c r="I67" s="44">
        <f t="shared" si="119"/>
        <v>0</v>
      </c>
      <c r="J67" s="44">
        <v>10.89</v>
      </c>
      <c r="K67" s="40">
        <f t="shared" si="112"/>
        <v>13.29</v>
      </c>
      <c r="L67" s="40">
        <f t="shared" si="113"/>
        <v>2033.37</v>
      </c>
      <c r="M67" s="82">
        <f t="shared" si="120"/>
        <v>2033.37</v>
      </c>
      <c r="N67" s="82">
        <f t="shared" si="121"/>
        <v>0</v>
      </c>
      <c r="O67" s="82">
        <f t="shared" si="122"/>
        <v>2033.37</v>
      </c>
      <c r="P67" s="82">
        <f t="shared" si="117"/>
        <v>0</v>
      </c>
      <c r="Q67" s="82">
        <f t="shared" si="23"/>
        <v>0</v>
      </c>
      <c r="R67" s="82">
        <f t="shared" si="24"/>
        <v>100</v>
      </c>
      <c r="S67" s="36">
        <f t="shared" si="25"/>
        <v>0</v>
      </c>
      <c r="T67" s="33">
        <f t="shared" si="7"/>
        <v>2033.37</v>
      </c>
      <c r="Y67" s="219">
        <f t="shared" si="5"/>
        <v>1</v>
      </c>
    </row>
    <row r="68" spans="1:25" customFormat="1" ht="12.75" x14ac:dyDescent="0.2">
      <c r="A68" s="37" t="s">
        <v>197</v>
      </c>
      <c r="B68" s="38" t="s">
        <v>198</v>
      </c>
      <c r="C68" s="37" t="s">
        <v>199</v>
      </c>
      <c r="D68" s="39" t="s">
        <v>14</v>
      </c>
      <c r="E68" s="78">
        <v>62</v>
      </c>
      <c r="F68" s="45">
        <v>56.438000000000002</v>
      </c>
      <c r="G68" s="45"/>
      <c r="H68" s="45">
        <f t="shared" si="118"/>
        <v>56.438000000000002</v>
      </c>
      <c r="I68" s="44">
        <f t="shared" si="119"/>
        <v>5.56</v>
      </c>
      <c r="J68" s="44">
        <v>46.2</v>
      </c>
      <c r="K68" s="40">
        <f t="shared" si="112"/>
        <v>56.41</v>
      </c>
      <c r="L68" s="40">
        <f t="shared" si="113"/>
        <v>3497.42</v>
      </c>
      <c r="M68" s="82">
        <f t="shared" si="120"/>
        <v>3183.67</v>
      </c>
      <c r="N68" s="82">
        <f t="shared" si="121"/>
        <v>0</v>
      </c>
      <c r="O68" s="82">
        <f t="shared" si="122"/>
        <v>3183.67</v>
      </c>
      <c r="P68" s="82">
        <f t="shared" si="117"/>
        <v>313.64</v>
      </c>
      <c r="Q68" s="82">
        <f t="shared" si="23"/>
        <v>0</v>
      </c>
      <c r="R68" s="82">
        <f t="shared" si="24"/>
        <v>91.029101451927417</v>
      </c>
      <c r="S68" s="36">
        <f t="shared" si="25"/>
        <v>8.967753372486003</v>
      </c>
      <c r="T68" s="33">
        <f t="shared" si="7"/>
        <v>3183.78</v>
      </c>
      <c r="Y68" s="219">
        <f t="shared" si="5"/>
        <v>0.91029101451927419</v>
      </c>
    </row>
    <row r="69" spans="1:25" customFormat="1" ht="25.5" x14ac:dyDescent="0.2">
      <c r="A69" s="37" t="s">
        <v>200</v>
      </c>
      <c r="B69" s="38" t="s">
        <v>201</v>
      </c>
      <c r="C69" s="37" t="s">
        <v>202</v>
      </c>
      <c r="D69" s="39" t="s">
        <v>14</v>
      </c>
      <c r="E69" s="78">
        <v>857</v>
      </c>
      <c r="F69" s="45">
        <v>451.61001999999996</v>
      </c>
      <c r="G69" s="45"/>
      <c r="H69" s="45">
        <f t="shared" si="118"/>
        <v>451.61001999999996</v>
      </c>
      <c r="I69" s="44">
        <f t="shared" si="119"/>
        <v>405.39</v>
      </c>
      <c r="J69" s="44">
        <v>15.2</v>
      </c>
      <c r="K69" s="40">
        <f t="shared" si="112"/>
        <v>18.559999999999999</v>
      </c>
      <c r="L69" s="40">
        <f t="shared" si="113"/>
        <v>15905.92</v>
      </c>
      <c r="M69" s="82">
        <f t="shared" si="120"/>
        <v>8381.8799999999992</v>
      </c>
      <c r="N69" s="82">
        <f t="shared" si="121"/>
        <v>0</v>
      </c>
      <c r="O69" s="82">
        <f t="shared" si="122"/>
        <v>8381.8799999999992</v>
      </c>
      <c r="P69" s="82">
        <f t="shared" si="117"/>
        <v>7524.04</v>
      </c>
      <c r="Q69" s="82">
        <f t="shared" si="23"/>
        <v>0</v>
      </c>
      <c r="R69" s="82">
        <f t="shared" si="24"/>
        <v>52.696606043535986</v>
      </c>
      <c r="S69" s="36">
        <f t="shared" si="25"/>
        <v>47.303393956464006</v>
      </c>
      <c r="T69" s="33">
        <f t="shared" si="7"/>
        <v>8381.880000000001</v>
      </c>
      <c r="Y69" s="219">
        <f t="shared" si="5"/>
        <v>0.52696606043535987</v>
      </c>
    </row>
    <row r="70" spans="1:25" customFormat="1" ht="12.75" x14ac:dyDescent="0.2">
      <c r="A70" s="37" t="s">
        <v>203</v>
      </c>
      <c r="B70" s="38" t="s">
        <v>204</v>
      </c>
      <c r="C70" s="37" t="s">
        <v>12</v>
      </c>
      <c r="D70" s="39" t="s">
        <v>14</v>
      </c>
      <c r="E70" s="78">
        <v>616</v>
      </c>
      <c r="F70" s="45">
        <v>0</v>
      </c>
      <c r="G70" s="45"/>
      <c r="H70" s="45">
        <f t="shared" si="118"/>
        <v>0</v>
      </c>
      <c r="I70" s="44">
        <f t="shared" si="119"/>
        <v>616</v>
      </c>
      <c r="J70" s="44">
        <v>1.04</v>
      </c>
      <c r="K70" s="40">
        <f t="shared" si="112"/>
        <v>1.26</v>
      </c>
      <c r="L70" s="40">
        <f t="shared" si="113"/>
        <v>776.16</v>
      </c>
      <c r="M70" s="82">
        <f t="shared" si="120"/>
        <v>0</v>
      </c>
      <c r="N70" s="82">
        <f t="shared" si="121"/>
        <v>0</v>
      </c>
      <c r="O70" s="82">
        <f t="shared" si="122"/>
        <v>0</v>
      </c>
      <c r="P70" s="82">
        <f t="shared" si="117"/>
        <v>776.16</v>
      </c>
      <c r="Q70" s="82">
        <f t="shared" si="23"/>
        <v>0</v>
      </c>
      <c r="R70" s="82">
        <f t="shared" si="24"/>
        <v>0</v>
      </c>
      <c r="S70" s="36">
        <f t="shared" si="25"/>
        <v>100</v>
      </c>
      <c r="T70" s="33">
        <f t="shared" si="7"/>
        <v>0</v>
      </c>
      <c r="Y70" s="219">
        <f t="shared" si="5"/>
        <v>0</v>
      </c>
    </row>
    <row r="71" spans="1:25" customFormat="1" ht="25.5" x14ac:dyDescent="0.2">
      <c r="A71" s="37" t="s">
        <v>205</v>
      </c>
      <c r="B71" s="35"/>
      <c r="C71" s="37" t="s">
        <v>206</v>
      </c>
      <c r="D71" s="39" t="s">
        <v>120</v>
      </c>
      <c r="E71" s="78">
        <v>16847</v>
      </c>
      <c r="F71" s="45">
        <v>0</v>
      </c>
      <c r="G71" s="45"/>
      <c r="H71" s="45">
        <f t="shared" si="118"/>
        <v>0</v>
      </c>
      <c r="I71" s="44">
        <f t="shared" si="119"/>
        <v>16847</v>
      </c>
      <c r="J71" s="44">
        <v>1.24</v>
      </c>
      <c r="K71" s="40">
        <f t="shared" si="112"/>
        <v>1.51</v>
      </c>
      <c r="L71" s="40">
        <f t="shared" si="113"/>
        <v>25438.97</v>
      </c>
      <c r="M71" s="82">
        <f t="shared" si="120"/>
        <v>0</v>
      </c>
      <c r="N71" s="82">
        <f t="shared" si="121"/>
        <v>0</v>
      </c>
      <c r="O71" s="82">
        <f t="shared" si="122"/>
        <v>0</v>
      </c>
      <c r="P71" s="82">
        <f t="shared" si="117"/>
        <v>25438.97</v>
      </c>
      <c r="Q71" s="82">
        <f t="shared" si="23"/>
        <v>0</v>
      </c>
      <c r="R71" s="82">
        <f t="shared" si="24"/>
        <v>0</v>
      </c>
      <c r="S71" s="36">
        <f t="shared" si="25"/>
        <v>100</v>
      </c>
      <c r="T71" s="33">
        <f t="shared" si="7"/>
        <v>0</v>
      </c>
      <c r="Y71" s="219">
        <f t="shared" si="5"/>
        <v>0</v>
      </c>
    </row>
    <row r="72" spans="1:25" customFormat="1" ht="12.75" x14ac:dyDescent="0.2">
      <c r="A72" s="70" t="s">
        <v>44</v>
      </c>
      <c r="B72" s="71"/>
      <c r="C72" s="70" t="s">
        <v>207</v>
      </c>
      <c r="D72" s="72"/>
      <c r="E72" s="81" t="s">
        <v>445</v>
      </c>
      <c r="F72" s="73"/>
      <c r="G72" s="73"/>
      <c r="H72" s="73"/>
      <c r="I72" s="73"/>
      <c r="J72" s="74" t="s">
        <v>445</v>
      </c>
      <c r="K72" s="75"/>
      <c r="L72" s="85">
        <f>SUM(L73:L112)</f>
        <v>1448946.9300000004</v>
      </c>
      <c r="M72" s="85">
        <f t="shared" ref="M72:P72" si="123">SUM(M73:M112)</f>
        <v>423811.92999999993</v>
      </c>
      <c r="N72" s="85">
        <f t="shared" si="123"/>
        <v>120631.20999999999</v>
      </c>
      <c r="O72" s="85">
        <f t="shared" si="123"/>
        <v>544443.14</v>
      </c>
      <c r="P72" s="85">
        <f t="shared" si="123"/>
        <v>904502.84000000008</v>
      </c>
      <c r="Q72" s="85">
        <f t="shared" si="23"/>
        <v>8.3254401871019503</v>
      </c>
      <c r="R72" s="85">
        <f t="shared" si="24"/>
        <v>37.575091863440427</v>
      </c>
      <c r="S72" s="77">
        <f t="shared" si="25"/>
        <v>62.424842571701355</v>
      </c>
      <c r="T72" s="33">
        <f t="shared" si="7"/>
        <v>544444.09000000032</v>
      </c>
      <c r="Y72" s="219">
        <f t="shared" si="5"/>
        <v>0.3757509186344043</v>
      </c>
    </row>
    <row r="73" spans="1:25" s="114" customFormat="1" ht="25.5" x14ac:dyDescent="0.2">
      <c r="A73" s="37" t="s">
        <v>208</v>
      </c>
      <c r="B73" s="38">
        <v>2003319</v>
      </c>
      <c r="C73" s="37" t="s">
        <v>209</v>
      </c>
      <c r="D73" s="39" t="s">
        <v>37</v>
      </c>
      <c r="E73" s="123">
        <v>1861.6</v>
      </c>
      <c r="F73" s="124">
        <v>1070.5</v>
      </c>
      <c r="G73" s="124">
        <v>791.1</v>
      </c>
      <c r="H73" s="124">
        <f t="shared" ref="H73" si="124">F73+G73</f>
        <v>1861.6</v>
      </c>
      <c r="I73" s="125">
        <f t="shared" ref="I73" si="125">ROUND(E73-H73,2)</f>
        <v>0</v>
      </c>
      <c r="J73" s="125">
        <v>64.819999999999993</v>
      </c>
      <c r="K73" s="126">
        <f t="shared" ref="K73:K112" si="126">TRUNC(J73*1.2211,2)</f>
        <v>79.150000000000006</v>
      </c>
      <c r="L73" s="126">
        <f t="shared" ref="L73:L112" si="127">TRUNC(E73*K73,2)</f>
        <v>147345.64000000001</v>
      </c>
      <c r="M73" s="127">
        <f t="shared" ref="M73" si="128">ROUND(F73*$K73,2)</f>
        <v>84730.08</v>
      </c>
      <c r="N73" s="127">
        <f t="shared" ref="N73" si="129">ROUND(G73*$K73,2)</f>
        <v>62615.57</v>
      </c>
      <c r="O73" s="127">
        <f t="shared" ref="O73" si="130">ROUND(H73*$K73,2)</f>
        <v>147345.64000000001</v>
      </c>
      <c r="P73" s="127">
        <f t="shared" ref="P73" si="131">ROUND(I73*$K73,2)</f>
        <v>0</v>
      </c>
      <c r="Q73" s="127">
        <f t="shared" si="23"/>
        <v>42.495706014782655</v>
      </c>
      <c r="R73" s="127">
        <f t="shared" si="24"/>
        <v>100</v>
      </c>
      <c r="S73" s="128">
        <f t="shared" si="25"/>
        <v>0</v>
      </c>
      <c r="T73" s="113">
        <f t="shared" si="7"/>
        <v>147345.64000000001</v>
      </c>
      <c r="Y73" s="219">
        <f t="shared" si="5"/>
        <v>1</v>
      </c>
    </row>
    <row r="74" spans="1:25" s="114" customFormat="1" ht="25.5" x14ac:dyDescent="0.2">
      <c r="A74" s="37" t="s">
        <v>210</v>
      </c>
      <c r="B74" s="38">
        <v>2003323</v>
      </c>
      <c r="C74" s="37" t="s">
        <v>211</v>
      </c>
      <c r="D74" s="39" t="s">
        <v>37</v>
      </c>
      <c r="E74" s="123">
        <v>402</v>
      </c>
      <c r="F74" s="124">
        <v>402</v>
      </c>
      <c r="G74" s="124"/>
      <c r="H74" s="124">
        <f t="shared" ref="H74:H112" si="132">F74+G74</f>
        <v>402</v>
      </c>
      <c r="I74" s="125">
        <f t="shared" ref="I74:I112" si="133">ROUND(E74-H74,2)</f>
        <v>0</v>
      </c>
      <c r="J74" s="125">
        <v>47.51</v>
      </c>
      <c r="K74" s="126">
        <f t="shared" si="126"/>
        <v>58.01</v>
      </c>
      <c r="L74" s="126">
        <f t="shared" si="127"/>
        <v>23320.02</v>
      </c>
      <c r="M74" s="127">
        <f t="shared" ref="M74:M112" si="134">ROUND(F74*$K74,2)</f>
        <v>23320.02</v>
      </c>
      <c r="N74" s="127">
        <f t="shared" ref="N74:N112" si="135">ROUND(G74*$K74,2)</f>
        <v>0</v>
      </c>
      <c r="O74" s="127">
        <f t="shared" ref="O74:O112" si="136">ROUND(H74*$K74,2)</f>
        <v>23320.02</v>
      </c>
      <c r="P74" s="127">
        <f t="shared" ref="P74:P111" si="137">ROUND(I74*$K74,2)</f>
        <v>0</v>
      </c>
      <c r="Q74" s="127">
        <f t="shared" si="23"/>
        <v>0</v>
      </c>
      <c r="R74" s="127">
        <f t="shared" si="24"/>
        <v>100</v>
      </c>
      <c r="S74" s="128">
        <f t="shared" si="25"/>
        <v>0</v>
      </c>
      <c r="T74" s="113">
        <f t="shared" si="7"/>
        <v>23320.02</v>
      </c>
      <c r="Y74" s="219">
        <f t="shared" si="5"/>
        <v>1</v>
      </c>
    </row>
    <row r="75" spans="1:25" customFormat="1" ht="25.5" x14ac:dyDescent="0.2">
      <c r="A75" s="37" t="s">
        <v>212</v>
      </c>
      <c r="B75" s="35">
        <v>2003343</v>
      </c>
      <c r="C75" s="37" t="s">
        <v>213</v>
      </c>
      <c r="D75" s="39" t="s">
        <v>37</v>
      </c>
      <c r="E75" s="78">
        <v>112.5</v>
      </c>
      <c r="F75" s="45">
        <v>74.88</v>
      </c>
      <c r="G75" s="124">
        <v>37.619999999999997</v>
      </c>
      <c r="H75" s="45">
        <f t="shared" si="132"/>
        <v>112.5</v>
      </c>
      <c r="I75" s="44">
        <f t="shared" si="133"/>
        <v>0</v>
      </c>
      <c r="J75" s="44">
        <v>50.15</v>
      </c>
      <c r="K75" s="40">
        <f t="shared" si="126"/>
        <v>61.23</v>
      </c>
      <c r="L75" s="40">
        <f t="shared" si="127"/>
        <v>6888.37</v>
      </c>
      <c r="M75" s="82">
        <f t="shared" si="134"/>
        <v>4584.8999999999996</v>
      </c>
      <c r="N75" s="82">
        <f t="shared" si="135"/>
        <v>2303.4699999999998</v>
      </c>
      <c r="O75" s="82">
        <f t="shared" si="136"/>
        <v>6888.38</v>
      </c>
      <c r="P75" s="82">
        <f>L75-O75</f>
        <v>-1.0000000000218279E-2</v>
      </c>
      <c r="Q75" s="82">
        <f t="shared" si="23"/>
        <v>33.439986528017513</v>
      </c>
      <c r="R75" s="82">
        <f t="shared" si="24"/>
        <v>100.00014517222506</v>
      </c>
      <c r="S75" s="36">
        <f t="shared" si="25"/>
        <v>-1.4517222507237968E-4</v>
      </c>
      <c r="T75" s="33">
        <f t="shared" si="7"/>
        <v>6888.38</v>
      </c>
      <c r="Y75" s="219">
        <f t="shared" si="5"/>
        <v>1.0000014517222506</v>
      </c>
    </row>
    <row r="76" spans="1:25" customFormat="1" ht="25.5" x14ac:dyDescent="0.2">
      <c r="A76" s="37" t="s">
        <v>214</v>
      </c>
      <c r="B76" s="35">
        <v>2003353</v>
      </c>
      <c r="C76" s="37" t="s">
        <v>215</v>
      </c>
      <c r="D76" s="39" t="s">
        <v>37</v>
      </c>
      <c r="E76" s="78">
        <v>210</v>
      </c>
      <c r="F76" s="45">
        <v>0</v>
      </c>
      <c r="G76" s="124"/>
      <c r="H76" s="45">
        <f t="shared" si="132"/>
        <v>0</v>
      </c>
      <c r="I76" s="44">
        <f t="shared" si="133"/>
        <v>210</v>
      </c>
      <c r="J76" s="44">
        <v>49.39</v>
      </c>
      <c r="K76" s="40">
        <f t="shared" si="126"/>
        <v>60.31</v>
      </c>
      <c r="L76" s="40">
        <f t="shared" si="127"/>
        <v>12665.1</v>
      </c>
      <c r="M76" s="82">
        <f t="shared" si="134"/>
        <v>0</v>
      </c>
      <c r="N76" s="82">
        <f t="shared" si="135"/>
        <v>0</v>
      </c>
      <c r="O76" s="82">
        <f t="shared" si="136"/>
        <v>0</v>
      </c>
      <c r="P76" s="82">
        <f t="shared" si="137"/>
        <v>12665.1</v>
      </c>
      <c r="Q76" s="82">
        <f t="shared" si="23"/>
        <v>0</v>
      </c>
      <c r="R76" s="82">
        <f t="shared" si="24"/>
        <v>0</v>
      </c>
      <c r="S76" s="36">
        <f t="shared" si="25"/>
        <v>100</v>
      </c>
      <c r="T76" s="33">
        <f t="shared" si="7"/>
        <v>0</v>
      </c>
      <c r="Y76" s="219">
        <f t="shared" si="5"/>
        <v>0</v>
      </c>
    </row>
    <row r="77" spans="1:25" customFormat="1" ht="25.5" x14ac:dyDescent="0.2">
      <c r="A77" s="37" t="s">
        <v>216</v>
      </c>
      <c r="B77" s="35">
        <v>2003355</v>
      </c>
      <c r="C77" s="37" t="s">
        <v>217</v>
      </c>
      <c r="D77" s="39" t="s">
        <v>37</v>
      </c>
      <c r="E77" s="78">
        <v>255</v>
      </c>
      <c r="F77" s="45">
        <v>0</v>
      </c>
      <c r="G77" s="124"/>
      <c r="H77" s="45">
        <f t="shared" si="132"/>
        <v>0</v>
      </c>
      <c r="I77" s="44">
        <f t="shared" si="133"/>
        <v>255</v>
      </c>
      <c r="J77" s="44">
        <v>66.86</v>
      </c>
      <c r="K77" s="40">
        <f t="shared" si="126"/>
        <v>81.64</v>
      </c>
      <c r="L77" s="40">
        <f t="shared" si="127"/>
        <v>20818.2</v>
      </c>
      <c r="M77" s="82">
        <f t="shared" si="134"/>
        <v>0</v>
      </c>
      <c r="N77" s="82">
        <f t="shared" si="135"/>
        <v>0</v>
      </c>
      <c r="O77" s="82">
        <f t="shared" si="136"/>
        <v>0</v>
      </c>
      <c r="P77" s="82">
        <f t="shared" si="137"/>
        <v>20818.2</v>
      </c>
      <c r="Q77" s="82">
        <f t="shared" si="23"/>
        <v>0</v>
      </c>
      <c r="R77" s="82">
        <f t="shared" si="24"/>
        <v>0</v>
      </c>
      <c r="S77" s="36">
        <f t="shared" si="25"/>
        <v>100</v>
      </c>
      <c r="T77" s="33">
        <f t="shared" si="7"/>
        <v>0</v>
      </c>
      <c r="Y77" s="219">
        <f t="shared" ref="Y77:Y140" si="138">O77/L77</f>
        <v>0</v>
      </c>
    </row>
    <row r="78" spans="1:25" customFormat="1" ht="25.5" x14ac:dyDescent="0.2">
      <c r="A78" s="37" t="s">
        <v>218</v>
      </c>
      <c r="B78" s="35">
        <v>2003307</v>
      </c>
      <c r="C78" s="37" t="s">
        <v>219</v>
      </c>
      <c r="D78" s="39" t="s">
        <v>37</v>
      </c>
      <c r="E78" s="78">
        <v>149</v>
      </c>
      <c r="F78" s="45">
        <v>117</v>
      </c>
      <c r="G78" s="124"/>
      <c r="H78" s="45">
        <f t="shared" si="132"/>
        <v>117</v>
      </c>
      <c r="I78" s="44">
        <f t="shared" si="133"/>
        <v>32</v>
      </c>
      <c r="J78" s="44">
        <v>97.46</v>
      </c>
      <c r="K78" s="40">
        <f t="shared" si="126"/>
        <v>119</v>
      </c>
      <c r="L78" s="40">
        <f t="shared" si="127"/>
        <v>17731</v>
      </c>
      <c r="M78" s="82">
        <f t="shared" si="134"/>
        <v>13923</v>
      </c>
      <c r="N78" s="82">
        <f t="shared" si="135"/>
        <v>0</v>
      </c>
      <c r="O78" s="82">
        <f t="shared" si="136"/>
        <v>13923</v>
      </c>
      <c r="P78" s="82">
        <f t="shared" si="137"/>
        <v>3808</v>
      </c>
      <c r="Q78" s="82">
        <f t="shared" si="23"/>
        <v>0</v>
      </c>
      <c r="R78" s="82">
        <f t="shared" si="24"/>
        <v>78.523489932885909</v>
      </c>
      <c r="S78" s="36">
        <f t="shared" si="25"/>
        <v>21.476510067114095</v>
      </c>
      <c r="T78" s="33">
        <f t="shared" ref="T78:T141" si="139">L78-P78</f>
        <v>13923</v>
      </c>
      <c r="Y78" s="219">
        <f t="shared" si="138"/>
        <v>0.78523489932885904</v>
      </c>
    </row>
    <row r="79" spans="1:25" s="114" customFormat="1" ht="25.5" x14ac:dyDescent="0.2">
      <c r="A79" s="37" t="s">
        <v>220</v>
      </c>
      <c r="B79" s="38">
        <v>2003373</v>
      </c>
      <c r="C79" s="37" t="s">
        <v>221</v>
      </c>
      <c r="D79" s="39" t="s">
        <v>37</v>
      </c>
      <c r="E79" s="123">
        <v>3450.2</v>
      </c>
      <c r="F79" s="124">
        <v>0</v>
      </c>
      <c r="G79" s="124"/>
      <c r="H79" s="124">
        <f t="shared" si="132"/>
        <v>0</v>
      </c>
      <c r="I79" s="125">
        <f t="shared" si="133"/>
        <v>3450.2</v>
      </c>
      <c r="J79" s="125">
        <v>24.92</v>
      </c>
      <c r="K79" s="126">
        <f t="shared" si="126"/>
        <v>30.42</v>
      </c>
      <c r="L79" s="126">
        <f t="shared" si="127"/>
        <v>104955.08</v>
      </c>
      <c r="M79" s="127">
        <f t="shared" si="134"/>
        <v>0</v>
      </c>
      <c r="N79" s="127">
        <f t="shared" si="135"/>
        <v>0</v>
      </c>
      <c r="O79" s="127">
        <f t="shared" si="136"/>
        <v>0</v>
      </c>
      <c r="P79" s="127">
        <f t="shared" si="137"/>
        <v>104955.08</v>
      </c>
      <c r="Q79" s="127">
        <f t="shared" si="23"/>
        <v>0</v>
      </c>
      <c r="R79" s="127">
        <f t="shared" si="24"/>
        <v>0</v>
      </c>
      <c r="S79" s="128">
        <f t="shared" si="25"/>
        <v>100</v>
      </c>
      <c r="T79" s="113">
        <f t="shared" si="139"/>
        <v>0</v>
      </c>
      <c r="Y79" s="219">
        <f t="shared" si="138"/>
        <v>0</v>
      </c>
    </row>
    <row r="80" spans="1:25" s="114" customFormat="1" ht="25.5" x14ac:dyDescent="0.2">
      <c r="A80" s="37" t="s">
        <v>222</v>
      </c>
      <c r="B80" s="38">
        <v>2003377</v>
      </c>
      <c r="C80" s="37" t="s">
        <v>223</v>
      </c>
      <c r="D80" s="39" t="s">
        <v>37</v>
      </c>
      <c r="E80" s="123">
        <v>1432</v>
      </c>
      <c r="F80" s="124">
        <v>1248</v>
      </c>
      <c r="G80" s="124"/>
      <c r="H80" s="124">
        <f t="shared" si="132"/>
        <v>1248</v>
      </c>
      <c r="I80" s="125">
        <f t="shared" si="133"/>
        <v>184</v>
      </c>
      <c r="J80" s="125">
        <v>21.8</v>
      </c>
      <c r="K80" s="126">
        <f t="shared" si="126"/>
        <v>26.61</v>
      </c>
      <c r="L80" s="126">
        <f t="shared" si="127"/>
        <v>38105.519999999997</v>
      </c>
      <c r="M80" s="127">
        <f t="shared" si="134"/>
        <v>33209.279999999999</v>
      </c>
      <c r="N80" s="127">
        <f t="shared" si="135"/>
        <v>0</v>
      </c>
      <c r="O80" s="127">
        <f t="shared" si="136"/>
        <v>33209.279999999999</v>
      </c>
      <c r="P80" s="127">
        <f t="shared" si="137"/>
        <v>4896.24</v>
      </c>
      <c r="Q80" s="127">
        <f t="shared" si="23"/>
        <v>0</v>
      </c>
      <c r="R80" s="127">
        <f t="shared" si="24"/>
        <v>87.150837988826822</v>
      </c>
      <c r="S80" s="128">
        <f t="shared" si="25"/>
        <v>12.849162011173185</v>
      </c>
      <c r="T80" s="113">
        <f t="shared" si="139"/>
        <v>33209.279999999999</v>
      </c>
      <c r="Y80" s="219">
        <f t="shared" si="138"/>
        <v>0.87150837988826824</v>
      </c>
    </row>
    <row r="81" spans="1:25" s="114" customFormat="1" ht="25.5" x14ac:dyDescent="0.2">
      <c r="A81" s="37" t="s">
        <v>224</v>
      </c>
      <c r="B81" s="38">
        <v>2003385</v>
      </c>
      <c r="C81" s="37" t="s">
        <v>225</v>
      </c>
      <c r="D81" s="39" t="s">
        <v>226</v>
      </c>
      <c r="E81" s="123">
        <v>53</v>
      </c>
      <c r="F81" s="124">
        <v>11</v>
      </c>
      <c r="G81" s="124"/>
      <c r="H81" s="124">
        <f t="shared" si="132"/>
        <v>11</v>
      </c>
      <c r="I81" s="125">
        <f t="shared" si="133"/>
        <v>42</v>
      </c>
      <c r="J81" s="125">
        <v>44.42</v>
      </c>
      <c r="K81" s="126">
        <f t="shared" si="126"/>
        <v>54.24</v>
      </c>
      <c r="L81" s="126">
        <f t="shared" si="127"/>
        <v>2874.72</v>
      </c>
      <c r="M81" s="127">
        <f t="shared" si="134"/>
        <v>596.64</v>
      </c>
      <c r="N81" s="127">
        <f t="shared" si="135"/>
        <v>0</v>
      </c>
      <c r="O81" s="127">
        <f t="shared" si="136"/>
        <v>596.64</v>
      </c>
      <c r="P81" s="127">
        <f t="shared" si="137"/>
        <v>2278.08</v>
      </c>
      <c r="Q81" s="127">
        <f t="shared" si="23"/>
        <v>0</v>
      </c>
      <c r="R81" s="127">
        <f t="shared" si="24"/>
        <v>20.754716981132077</v>
      </c>
      <c r="S81" s="128">
        <f t="shared" si="25"/>
        <v>79.245283018867923</v>
      </c>
      <c r="T81" s="113">
        <f t="shared" si="139"/>
        <v>596.63999999999987</v>
      </c>
      <c r="Y81" s="219">
        <f t="shared" si="138"/>
        <v>0.20754716981132076</v>
      </c>
    </row>
    <row r="82" spans="1:25" customFormat="1" ht="25.5" x14ac:dyDescent="0.2">
      <c r="A82" s="37" t="s">
        <v>227</v>
      </c>
      <c r="B82" s="35">
        <v>2003387</v>
      </c>
      <c r="C82" s="37" t="s">
        <v>228</v>
      </c>
      <c r="D82" s="39" t="s">
        <v>226</v>
      </c>
      <c r="E82" s="78">
        <v>13</v>
      </c>
      <c r="F82" s="45">
        <v>3</v>
      </c>
      <c r="G82" s="124"/>
      <c r="H82" s="45">
        <f t="shared" si="132"/>
        <v>3</v>
      </c>
      <c r="I82" s="44">
        <f t="shared" si="133"/>
        <v>10</v>
      </c>
      <c r="J82" s="44">
        <v>54.61</v>
      </c>
      <c r="K82" s="40">
        <f t="shared" si="126"/>
        <v>66.680000000000007</v>
      </c>
      <c r="L82" s="40">
        <f t="shared" si="127"/>
        <v>866.84</v>
      </c>
      <c r="M82" s="82">
        <f t="shared" si="134"/>
        <v>200.04</v>
      </c>
      <c r="N82" s="82">
        <f t="shared" si="135"/>
        <v>0</v>
      </c>
      <c r="O82" s="82">
        <f t="shared" si="136"/>
        <v>200.04</v>
      </c>
      <c r="P82" s="82">
        <f t="shared" si="137"/>
        <v>666.8</v>
      </c>
      <c r="Q82" s="82">
        <f t="shared" si="23"/>
        <v>0</v>
      </c>
      <c r="R82" s="82">
        <f t="shared" si="24"/>
        <v>23.076923076923077</v>
      </c>
      <c r="S82" s="36">
        <f t="shared" si="25"/>
        <v>76.92307692307692</v>
      </c>
      <c r="T82" s="33">
        <f t="shared" si="139"/>
        <v>200.04000000000008</v>
      </c>
      <c r="Y82" s="219">
        <f t="shared" si="138"/>
        <v>0.23076923076923075</v>
      </c>
    </row>
    <row r="83" spans="1:25" customFormat="1" ht="25.5" x14ac:dyDescent="0.2">
      <c r="A83" s="37" t="s">
        <v>229</v>
      </c>
      <c r="B83" s="35">
        <v>2003361</v>
      </c>
      <c r="C83" s="37" t="s">
        <v>230</v>
      </c>
      <c r="D83" s="39" t="s">
        <v>37</v>
      </c>
      <c r="E83" s="78">
        <v>163</v>
      </c>
      <c r="F83" s="45">
        <v>0</v>
      </c>
      <c r="G83" s="124"/>
      <c r="H83" s="45">
        <f t="shared" si="132"/>
        <v>0</v>
      </c>
      <c r="I83" s="44">
        <f t="shared" si="133"/>
        <v>163</v>
      </c>
      <c r="J83" s="44">
        <v>511.23</v>
      </c>
      <c r="K83" s="40">
        <f t="shared" si="126"/>
        <v>624.26</v>
      </c>
      <c r="L83" s="40">
        <f t="shared" si="127"/>
        <v>101754.38</v>
      </c>
      <c r="M83" s="82">
        <f t="shared" si="134"/>
        <v>0</v>
      </c>
      <c r="N83" s="82">
        <f t="shared" si="135"/>
        <v>0</v>
      </c>
      <c r="O83" s="82">
        <f t="shared" si="136"/>
        <v>0</v>
      </c>
      <c r="P83" s="82">
        <f t="shared" si="137"/>
        <v>101754.38</v>
      </c>
      <c r="Q83" s="82">
        <f t="shared" si="23"/>
        <v>0</v>
      </c>
      <c r="R83" s="82">
        <f t="shared" si="24"/>
        <v>0</v>
      </c>
      <c r="S83" s="36">
        <f t="shared" si="25"/>
        <v>100</v>
      </c>
      <c r="T83" s="33">
        <f t="shared" si="139"/>
        <v>0</v>
      </c>
      <c r="Y83" s="219">
        <f t="shared" si="138"/>
        <v>0</v>
      </c>
    </row>
    <row r="84" spans="1:25" customFormat="1" ht="25.5" x14ac:dyDescent="0.2">
      <c r="A84" s="37" t="s">
        <v>231</v>
      </c>
      <c r="B84" s="38">
        <v>2003407</v>
      </c>
      <c r="C84" s="41" t="s">
        <v>232</v>
      </c>
      <c r="D84" s="39" t="s">
        <v>37</v>
      </c>
      <c r="E84" s="78">
        <v>212</v>
      </c>
      <c r="F84" s="45">
        <v>0</v>
      </c>
      <c r="G84" s="124"/>
      <c r="H84" s="45">
        <f t="shared" si="132"/>
        <v>0</v>
      </c>
      <c r="I84" s="44">
        <f t="shared" si="133"/>
        <v>212</v>
      </c>
      <c r="J84" s="44">
        <v>241.23</v>
      </c>
      <c r="K84" s="40">
        <f t="shared" si="126"/>
        <v>294.56</v>
      </c>
      <c r="L84" s="40">
        <f t="shared" si="127"/>
        <v>62446.720000000001</v>
      </c>
      <c r="M84" s="82">
        <f t="shared" si="134"/>
        <v>0</v>
      </c>
      <c r="N84" s="82">
        <f t="shared" si="135"/>
        <v>0</v>
      </c>
      <c r="O84" s="82">
        <f t="shared" si="136"/>
        <v>0</v>
      </c>
      <c r="P84" s="82">
        <f t="shared" si="137"/>
        <v>62446.720000000001</v>
      </c>
      <c r="Q84" s="82">
        <f t="shared" si="23"/>
        <v>0</v>
      </c>
      <c r="R84" s="82">
        <f t="shared" si="24"/>
        <v>0</v>
      </c>
      <c r="S84" s="36">
        <f t="shared" si="25"/>
        <v>100</v>
      </c>
      <c r="T84" s="33">
        <f t="shared" si="139"/>
        <v>0</v>
      </c>
      <c r="Y84" s="219">
        <f t="shared" si="138"/>
        <v>0</v>
      </c>
    </row>
    <row r="85" spans="1:25" customFormat="1" ht="25.5" x14ac:dyDescent="0.2">
      <c r="A85" s="41" t="s">
        <v>233</v>
      </c>
      <c r="B85" s="35">
        <v>2003393</v>
      </c>
      <c r="C85" s="42" t="s">
        <v>234</v>
      </c>
      <c r="D85" s="39" t="s">
        <v>37</v>
      </c>
      <c r="E85" s="78">
        <v>61.5</v>
      </c>
      <c r="F85" s="44">
        <v>51.518700000000003</v>
      </c>
      <c r="G85" s="124"/>
      <c r="H85" s="45">
        <f t="shared" si="132"/>
        <v>51.518700000000003</v>
      </c>
      <c r="I85" s="44">
        <f t="shared" si="133"/>
        <v>9.98</v>
      </c>
      <c r="J85" s="44">
        <v>218.87</v>
      </c>
      <c r="K85" s="40">
        <f t="shared" si="126"/>
        <v>267.26</v>
      </c>
      <c r="L85" s="40">
        <f t="shared" si="127"/>
        <v>16436.490000000002</v>
      </c>
      <c r="M85" s="82">
        <f t="shared" si="134"/>
        <v>13768.89</v>
      </c>
      <c r="N85" s="82">
        <f t="shared" si="135"/>
        <v>0</v>
      </c>
      <c r="O85" s="82">
        <f t="shared" si="136"/>
        <v>13768.89</v>
      </c>
      <c r="P85" s="82">
        <f t="shared" si="137"/>
        <v>2667.25</v>
      </c>
      <c r="Q85" s="82">
        <f t="shared" si="23"/>
        <v>0</v>
      </c>
      <c r="R85" s="82">
        <f t="shared" si="24"/>
        <v>83.770257518484769</v>
      </c>
      <c r="S85" s="36">
        <f t="shared" si="25"/>
        <v>16.227613073107456</v>
      </c>
      <c r="T85" s="33">
        <f t="shared" si="139"/>
        <v>13769.240000000002</v>
      </c>
      <c r="Y85" s="219">
        <f t="shared" si="138"/>
        <v>0.8377025751848477</v>
      </c>
    </row>
    <row r="86" spans="1:25" customFormat="1" ht="25.5" x14ac:dyDescent="0.2">
      <c r="A86" s="41" t="s">
        <v>235</v>
      </c>
      <c r="B86" s="35">
        <v>2003449</v>
      </c>
      <c r="C86" s="42" t="s">
        <v>236</v>
      </c>
      <c r="D86" s="39" t="s">
        <v>226</v>
      </c>
      <c r="E86" s="78">
        <v>30</v>
      </c>
      <c r="F86" s="45">
        <v>0</v>
      </c>
      <c r="G86" s="124"/>
      <c r="H86" s="45">
        <f t="shared" si="132"/>
        <v>0</v>
      </c>
      <c r="I86" s="44">
        <f t="shared" si="133"/>
        <v>30</v>
      </c>
      <c r="J86" s="44">
        <v>388.49</v>
      </c>
      <c r="K86" s="40">
        <f t="shared" si="126"/>
        <v>474.38</v>
      </c>
      <c r="L86" s="40">
        <f t="shared" si="127"/>
        <v>14231.4</v>
      </c>
      <c r="M86" s="82">
        <f t="shared" si="134"/>
        <v>0</v>
      </c>
      <c r="N86" s="82">
        <f t="shared" si="135"/>
        <v>0</v>
      </c>
      <c r="O86" s="82">
        <f t="shared" si="136"/>
        <v>0</v>
      </c>
      <c r="P86" s="82">
        <f t="shared" si="137"/>
        <v>14231.4</v>
      </c>
      <c r="Q86" s="82">
        <f t="shared" si="23"/>
        <v>0</v>
      </c>
      <c r="R86" s="82">
        <f t="shared" si="24"/>
        <v>0</v>
      </c>
      <c r="S86" s="36">
        <f t="shared" si="25"/>
        <v>100</v>
      </c>
      <c r="T86" s="33">
        <f t="shared" si="139"/>
        <v>0</v>
      </c>
      <c r="Y86" s="219">
        <f t="shared" si="138"/>
        <v>0</v>
      </c>
    </row>
    <row r="87" spans="1:25" customFormat="1" ht="25.5" x14ac:dyDescent="0.2">
      <c r="A87" s="41" t="s">
        <v>237</v>
      </c>
      <c r="B87" s="35">
        <v>2003451</v>
      </c>
      <c r="C87" s="42" t="s">
        <v>238</v>
      </c>
      <c r="D87" s="39" t="s">
        <v>226</v>
      </c>
      <c r="E87" s="78">
        <v>26</v>
      </c>
      <c r="F87" s="45">
        <v>0</v>
      </c>
      <c r="G87" s="124"/>
      <c r="H87" s="45">
        <f t="shared" si="132"/>
        <v>0</v>
      </c>
      <c r="I87" s="44">
        <f t="shared" si="133"/>
        <v>26</v>
      </c>
      <c r="J87" s="44">
        <v>399.25</v>
      </c>
      <c r="K87" s="40">
        <f t="shared" si="126"/>
        <v>487.52</v>
      </c>
      <c r="L87" s="40">
        <f t="shared" si="127"/>
        <v>12675.52</v>
      </c>
      <c r="M87" s="82">
        <f t="shared" si="134"/>
        <v>0</v>
      </c>
      <c r="N87" s="82">
        <f t="shared" si="135"/>
        <v>0</v>
      </c>
      <c r="O87" s="82">
        <f t="shared" si="136"/>
        <v>0</v>
      </c>
      <c r="P87" s="82">
        <f t="shared" si="137"/>
        <v>12675.52</v>
      </c>
      <c r="Q87" s="82">
        <f t="shared" ref="Q87:Q150" si="140">N87/L87*100</f>
        <v>0</v>
      </c>
      <c r="R87" s="82">
        <f t="shared" ref="R87:R150" si="141">O87/L87*100</f>
        <v>0</v>
      </c>
      <c r="S87" s="36">
        <f t="shared" ref="S87:S150" si="142">P87/L87*100</f>
        <v>100</v>
      </c>
      <c r="T87" s="33">
        <f t="shared" si="139"/>
        <v>0</v>
      </c>
      <c r="Y87" s="219">
        <f t="shared" si="138"/>
        <v>0</v>
      </c>
    </row>
    <row r="88" spans="1:25" customFormat="1" ht="25.5" x14ac:dyDescent="0.2">
      <c r="A88" s="41" t="s">
        <v>239</v>
      </c>
      <c r="B88" s="35">
        <v>2003453</v>
      </c>
      <c r="C88" s="42" t="s">
        <v>240</v>
      </c>
      <c r="D88" s="39" t="s">
        <v>226</v>
      </c>
      <c r="E88" s="78">
        <v>2</v>
      </c>
      <c r="F88" s="45">
        <v>0</v>
      </c>
      <c r="G88" s="124"/>
      <c r="H88" s="45">
        <f t="shared" si="132"/>
        <v>0</v>
      </c>
      <c r="I88" s="44">
        <f t="shared" si="133"/>
        <v>2</v>
      </c>
      <c r="J88" s="44">
        <v>1221.17</v>
      </c>
      <c r="K88" s="40">
        <f t="shared" si="126"/>
        <v>1491.17</v>
      </c>
      <c r="L88" s="40">
        <f t="shared" si="127"/>
        <v>2982.34</v>
      </c>
      <c r="M88" s="82">
        <f t="shared" si="134"/>
        <v>0</v>
      </c>
      <c r="N88" s="82">
        <f t="shared" si="135"/>
        <v>0</v>
      </c>
      <c r="O88" s="82">
        <f t="shared" si="136"/>
        <v>0</v>
      </c>
      <c r="P88" s="82">
        <f t="shared" si="137"/>
        <v>2982.34</v>
      </c>
      <c r="Q88" s="82">
        <f t="shared" si="140"/>
        <v>0</v>
      </c>
      <c r="R88" s="82">
        <f t="shared" si="141"/>
        <v>0</v>
      </c>
      <c r="S88" s="36">
        <f t="shared" si="142"/>
        <v>100</v>
      </c>
      <c r="T88" s="33">
        <f t="shared" si="139"/>
        <v>0</v>
      </c>
      <c r="Y88" s="219">
        <f t="shared" si="138"/>
        <v>0</v>
      </c>
    </row>
    <row r="89" spans="1:25" customFormat="1" ht="25.5" x14ac:dyDescent="0.2">
      <c r="A89" s="41" t="s">
        <v>241</v>
      </c>
      <c r="B89" s="35">
        <v>2003455</v>
      </c>
      <c r="C89" s="42" t="s">
        <v>242</v>
      </c>
      <c r="D89" s="39" t="s">
        <v>226</v>
      </c>
      <c r="E89" s="78">
        <v>6</v>
      </c>
      <c r="F89" s="45">
        <v>0</v>
      </c>
      <c r="G89" s="124">
        <v>2</v>
      </c>
      <c r="H89" s="45">
        <f t="shared" si="132"/>
        <v>2</v>
      </c>
      <c r="I89" s="44">
        <f t="shared" si="133"/>
        <v>4</v>
      </c>
      <c r="J89" s="44">
        <v>1729.7</v>
      </c>
      <c r="K89" s="40">
        <f t="shared" si="126"/>
        <v>2112.13</v>
      </c>
      <c r="L89" s="40">
        <f t="shared" si="127"/>
        <v>12672.78</v>
      </c>
      <c r="M89" s="82">
        <f t="shared" si="134"/>
        <v>0</v>
      </c>
      <c r="N89" s="82">
        <f t="shared" si="135"/>
        <v>4224.26</v>
      </c>
      <c r="O89" s="82">
        <f t="shared" si="136"/>
        <v>4224.26</v>
      </c>
      <c r="P89" s="82">
        <f t="shared" si="137"/>
        <v>8448.52</v>
      </c>
      <c r="Q89" s="82">
        <f t="shared" si="140"/>
        <v>33.333333333333329</v>
      </c>
      <c r="R89" s="82">
        <f t="shared" si="141"/>
        <v>33.333333333333329</v>
      </c>
      <c r="S89" s="36">
        <f t="shared" si="142"/>
        <v>66.666666666666657</v>
      </c>
      <c r="T89" s="33">
        <f t="shared" si="139"/>
        <v>4224.26</v>
      </c>
      <c r="Y89" s="219">
        <f t="shared" si="138"/>
        <v>0.33333333333333331</v>
      </c>
    </row>
    <row r="90" spans="1:25" customFormat="1" ht="25.5" x14ac:dyDescent="0.2">
      <c r="A90" s="41" t="s">
        <v>243</v>
      </c>
      <c r="B90" s="35">
        <v>2003459</v>
      </c>
      <c r="C90" s="42" t="s">
        <v>244</v>
      </c>
      <c r="D90" s="39" t="s">
        <v>226</v>
      </c>
      <c r="E90" s="78">
        <v>13</v>
      </c>
      <c r="F90" s="45">
        <v>0</v>
      </c>
      <c r="G90" s="124">
        <v>2</v>
      </c>
      <c r="H90" s="45">
        <f t="shared" si="132"/>
        <v>2</v>
      </c>
      <c r="I90" s="44">
        <f t="shared" si="133"/>
        <v>11</v>
      </c>
      <c r="J90" s="44">
        <v>2946.95</v>
      </c>
      <c r="K90" s="40">
        <f t="shared" si="126"/>
        <v>3598.52</v>
      </c>
      <c r="L90" s="40">
        <f t="shared" si="127"/>
        <v>46780.76</v>
      </c>
      <c r="M90" s="82">
        <f t="shared" si="134"/>
        <v>0</v>
      </c>
      <c r="N90" s="82">
        <f t="shared" si="135"/>
        <v>7197.04</v>
      </c>
      <c r="O90" s="82">
        <f t="shared" si="136"/>
        <v>7197.04</v>
      </c>
      <c r="P90" s="82">
        <f t="shared" si="137"/>
        <v>39583.72</v>
      </c>
      <c r="Q90" s="82">
        <f t="shared" si="140"/>
        <v>15.384615384615383</v>
      </c>
      <c r="R90" s="82">
        <f t="shared" si="141"/>
        <v>15.384615384615383</v>
      </c>
      <c r="S90" s="36">
        <f t="shared" si="142"/>
        <v>84.615384615384613</v>
      </c>
      <c r="T90" s="33">
        <f t="shared" si="139"/>
        <v>7197.0400000000009</v>
      </c>
      <c r="Y90" s="219">
        <f t="shared" si="138"/>
        <v>0.15384615384615383</v>
      </c>
    </row>
    <row r="91" spans="1:25" customFormat="1" ht="25.5" x14ac:dyDescent="0.2">
      <c r="A91" s="41" t="s">
        <v>245</v>
      </c>
      <c r="B91" s="35">
        <v>2003465</v>
      </c>
      <c r="C91" s="42" t="s">
        <v>246</v>
      </c>
      <c r="D91" s="39" t="s">
        <v>226</v>
      </c>
      <c r="E91" s="78">
        <v>1</v>
      </c>
      <c r="F91" s="45">
        <v>0</v>
      </c>
      <c r="G91" s="124"/>
      <c r="H91" s="45">
        <f t="shared" si="132"/>
        <v>0</v>
      </c>
      <c r="I91" s="44">
        <f t="shared" si="133"/>
        <v>1</v>
      </c>
      <c r="J91" s="44">
        <v>3844.08</v>
      </c>
      <c r="K91" s="40">
        <f t="shared" si="126"/>
        <v>4694</v>
      </c>
      <c r="L91" s="40">
        <f t="shared" si="127"/>
        <v>4694</v>
      </c>
      <c r="M91" s="82">
        <f t="shared" si="134"/>
        <v>0</v>
      </c>
      <c r="N91" s="82">
        <f t="shared" si="135"/>
        <v>0</v>
      </c>
      <c r="O91" s="82">
        <f t="shared" si="136"/>
        <v>0</v>
      </c>
      <c r="P91" s="82">
        <f t="shared" si="137"/>
        <v>4694</v>
      </c>
      <c r="Q91" s="82">
        <f t="shared" si="140"/>
        <v>0</v>
      </c>
      <c r="R91" s="82">
        <f t="shared" si="141"/>
        <v>0</v>
      </c>
      <c r="S91" s="36">
        <f t="shared" si="142"/>
        <v>100</v>
      </c>
      <c r="T91" s="33">
        <f t="shared" si="139"/>
        <v>0</v>
      </c>
      <c r="Y91" s="219">
        <f t="shared" si="138"/>
        <v>0</v>
      </c>
    </row>
    <row r="92" spans="1:25" customFormat="1" ht="25.5" x14ac:dyDescent="0.2">
      <c r="A92" s="41" t="s">
        <v>247</v>
      </c>
      <c r="B92" s="35">
        <v>2003445</v>
      </c>
      <c r="C92" s="42" t="s">
        <v>248</v>
      </c>
      <c r="D92" s="39" t="s">
        <v>226</v>
      </c>
      <c r="E92" s="78">
        <v>12</v>
      </c>
      <c r="F92" s="45">
        <v>0</v>
      </c>
      <c r="G92" s="124"/>
      <c r="H92" s="45">
        <f t="shared" si="132"/>
        <v>0</v>
      </c>
      <c r="I92" s="44">
        <f t="shared" si="133"/>
        <v>12</v>
      </c>
      <c r="J92" s="44">
        <v>256.75</v>
      </c>
      <c r="K92" s="40">
        <f t="shared" si="126"/>
        <v>313.51</v>
      </c>
      <c r="L92" s="40">
        <f t="shared" si="127"/>
        <v>3762.12</v>
      </c>
      <c r="M92" s="82">
        <f t="shared" si="134"/>
        <v>0</v>
      </c>
      <c r="N92" s="82">
        <f t="shared" si="135"/>
        <v>0</v>
      </c>
      <c r="O92" s="82">
        <f t="shared" si="136"/>
        <v>0</v>
      </c>
      <c r="P92" s="82">
        <f t="shared" si="137"/>
        <v>3762.12</v>
      </c>
      <c r="Q92" s="82">
        <f t="shared" si="140"/>
        <v>0</v>
      </c>
      <c r="R92" s="82">
        <f t="shared" si="141"/>
        <v>0</v>
      </c>
      <c r="S92" s="36">
        <f t="shared" si="142"/>
        <v>100</v>
      </c>
      <c r="T92" s="33">
        <f t="shared" si="139"/>
        <v>0</v>
      </c>
      <c r="Y92" s="219">
        <f t="shared" si="138"/>
        <v>0</v>
      </c>
    </row>
    <row r="93" spans="1:25" customFormat="1" ht="25.5" x14ac:dyDescent="0.2">
      <c r="A93" s="41" t="s">
        <v>249</v>
      </c>
      <c r="B93" s="35">
        <v>2003443</v>
      </c>
      <c r="C93" s="42" t="s">
        <v>250</v>
      </c>
      <c r="D93" s="39" t="s">
        <v>226</v>
      </c>
      <c r="E93" s="78">
        <v>1</v>
      </c>
      <c r="F93" s="45">
        <v>0</v>
      </c>
      <c r="G93" s="124"/>
      <c r="H93" s="45">
        <f t="shared" si="132"/>
        <v>0</v>
      </c>
      <c r="I93" s="44">
        <f t="shared" si="133"/>
        <v>1</v>
      </c>
      <c r="J93" s="44">
        <v>215.06</v>
      </c>
      <c r="K93" s="40">
        <f t="shared" si="126"/>
        <v>262.60000000000002</v>
      </c>
      <c r="L93" s="40">
        <f t="shared" si="127"/>
        <v>262.60000000000002</v>
      </c>
      <c r="M93" s="82">
        <f t="shared" si="134"/>
        <v>0</v>
      </c>
      <c r="N93" s="82">
        <f t="shared" si="135"/>
        <v>0</v>
      </c>
      <c r="O93" s="82">
        <f t="shared" si="136"/>
        <v>0</v>
      </c>
      <c r="P93" s="82">
        <f t="shared" si="137"/>
        <v>262.60000000000002</v>
      </c>
      <c r="Q93" s="82">
        <f t="shared" si="140"/>
        <v>0</v>
      </c>
      <c r="R93" s="82">
        <f t="shared" si="141"/>
        <v>0</v>
      </c>
      <c r="S93" s="36">
        <f t="shared" si="142"/>
        <v>100</v>
      </c>
      <c r="T93" s="33">
        <f t="shared" si="139"/>
        <v>0</v>
      </c>
      <c r="Y93" s="219">
        <f t="shared" si="138"/>
        <v>0</v>
      </c>
    </row>
    <row r="94" spans="1:25" customFormat="1" ht="25.5" x14ac:dyDescent="0.2">
      <c r="A94" s="41" t="s">
        <v>251</v>
      </c>
      <c r="B94" s="35">
        <v>2003730</v>
      </c>
      <c r="C94" s="42" t="s">
        <v>252</v>
      </c>
      <c r="D94" s="39" t="s">
        <v>226</v>
      </c>
      <c r="E94" s="78">
        <v>3</v>
      </c>
      <c r="F94" s="45">
        <v>0</v>
      </c>
      <c r="G94" s="124">
        <v>1</v>
      </c>
      <c r="H94" s="45">
        <f t="shared" si="132"/>
        <v>1</v>
      </c>
      <c r="I94" s="44">
        <f t="shared" si="133"/>
        <v>2</v>
      </c>
      <c r="J94" s="44">
        <v>3014.81</v>
      </c>
      <c r="K94" s="40">
        <f t="shared" si="126"/>
        <v>3681.38</v>
      </c>
      <c r="L94" s="40">
        <f t="shared" si="127"/>
        <v>11044.14</v>
      </c>
      <c r="M94" s="82">
        <f t="shared" si="134"/>
        <v>0</v>
      </c>
      <c r="N94" s="82">
        <f t="shared" si="135"/>
        <v>3681.38</v>
      </c>
      <c r="O94" s="82">
        <f t="shared" si="136"/>
        <v>3681.38</v>
      </c>
      <c r="P94" s="82">
        <f t="shared" si="137"/>
        <v>7362.76</v>
      </c>
      <c r="Q94" s="82">
        <f t="shared" si="140"/>
        <v>33.333333333333336</v>
      </c>
      <c r="R94" s="82">
        <f t="shared" si="141"/>
        <v>33.333333333333336</v>
      </c>
      <c r="S94" s="36">
        <f t="shared" si="142"/>
        <v>66.666666666666671</v>
      </c>
      <c r="T94" s="33">
        <f t="shared" si="139"/>
        <v>3681.3799999999992</v>
      </c>
      <c r="Y94" s="219">
        <f t="shared" si="138"/>
        <v>0.33333333333333337</v>
      </c>
    </row>
    <row r="95" spans="1:25" customFormat="1" ht="25.5" x14ac:dyDescent="0.2">
      <c r="A95" s="41" t="s">
        <v>253</v>
      </c>
      <c r="B95" s="35">
        <v>2003734</v>
      </c>
      <c r="C95" s="42" t="s">
        <v>254</v>
      </c>
      <c r="D95" s="39" t="s">
        <v>226</v>
      </c>
      <c r="E95" s="78">
        <v>10</v>
      </c>
      <c r="F95" s="45">
        <v>3</v>
      </c>
      <c r="G95" s="124">
        <v>1</v>
      </c>
      <c r="H95" s="45">
        <f t="shared" si="132"/>
        <v>4</v>
      </c>
      <c r="I95" s="44">
        <f t="shared" si="133"/>
        <v>6</v>
      </c>
      <c r="J95" s="44">
        <v>2946.92</v>
      </c>
      <c r="K95" s="40">
        <f t="shared" si="126"/>
        <v>3598.48</v>
      </c>
      <c r="L95" s="40">
        <f t="shared" si="127"/>
        <v>35984.800000000003</v>
      </c>
      <c r="M95" s="82">
        <f t="shared" si="134"/>
        <v>10795.44</v>
      </c>
      <c r="N95" s="82">
        <f t="shared" si="135"/>
        <v>3598.48</v>
      </c>
      <c r="O95" s="82">
        <f t="shared" si="136"/>
        <v>14393.92</v>
      </c>
      <c r="P95" s="82">
        <f t="shared" si="137"/>
        <v>21590.880000000001</v>
      </c>
      <c r="Q95" s="82">
        <f t="shared" si="140"/>
        <v>10</v>
      </c>
      <c r="R95" s="82">
        <f t="shared" si="141"/>
        <v>40</v>
      </c>
      <c r="S95" s="36">
        <f t="shared" si="142"/>
        <v>60</v>
      </c>
      <c r="T95" s="33">
        <f t="shared" si="139"/>
        <v>14393.920000000002</v>
      </c>
      <c r="Y95" s="219">
        <f t="shared" si="138"/>
        <v>0.39999999999999997</v>
      </c>
    </row>
    <row r="96" spans="1:25" customFormat="1" ht="25.5" x14ac:dyDescent="0.2">
      <c r="A96" s="41" t="s">
        <v>255</v>
      </c>
      <c r="B96" s="35">
        <v>2003738</v>
      </c>
      <c r="C96" s="42" t="s">
        <v>256</v>
      </c>
      <c r="D96" s="39" t="s">
        <v>226</v>
      </c>
      <c r="E96" s="78">
        <v>1</v>
      </c>
      <c r="F96" s="45">
        <v>0</v>
      </c>
      <c r="G96" s="124">
        <v>1</v>
      </c>
      <c r="H96" s="45">
        <f t="shared" si="132"/>
        <v>1</v>
      </c>
      <c r="I96" s="44">
        <f t="shared" si="133"/>
        <v>0</v>
      </c>
      <c r="J96" s="44">
        <v>3971.3</v>
      </c>
      <c r="K96" s="40">
        <f t="shared" si="126"/>
        <v>4849.3500000000004</v>
      </c>
      <c r="L96" s="40">
        <f t="shared" si="127"/>
        <v>4849.3500000000004</v>
      </c>
      <c r="M96" s="82">
        <f t="shared" si="134"/>
        <v>0</v>
      </c>
      <c r="N96" s="82">
        <f t="shared" si="135"/>
        <v>4849.3500000000004</v>
      </c>
      <c r="O96" s="82">
        <f t="shared" si="136"/>
        <v>4849.3500000000004</v>
      </c>
      <c r="P96" s="82">
        <f t="shared" si="137"/>
        <v>0</v>
      </c>
      <c r="Q96" s="82">
        <f t="shared" si="140"/>
        <v>100</v>
      </c>
      <c r="R96" s="82">
        <f t="shared" si="141"/>
        <v>100</v>
      </c>
      <c r="S96" s="36">
        <f t="shared" si="142"/>
        <v>0</v>
      </c>
      <c r="T96" s="33">
        <f t="shared" si="139"/>
        <v>4849.3500000000004</v>
      </c>
      <c r="Y96" s="219">
        <f t="shared" si="138"/>
        <v>1</v>
      </c>
    </row>
    <row r="97" spans="1:25" customFormat="1" ht="25.5" x14ac:dyDescent="0.2">
      <c r="A97" s="41" t="s">
        <v>257</v>
      </c>
      <c r="B97" s="35">
        <v>2003746</v>
      </c>
      <c r="C97" s="42" t="s">
        <v>258</v>
      </c>
      <c r="D97" s="39" t="s">
        <v>226</v>
      </c>
      <c r="E97" s="78">
        <v>1</v>
      </c>
      <c r="F97" s="45">
        <v>0</v>
      </c>
      <c r="G97" s="124"/>
      <c r="H97" s="45">
        <f t="shared" si="132"/>
        <v>0</v>
      </c>
      <c r="I97" s="44">
        <f t="shared" si="133"/>
        <v>1</v>
      </c>
      <c r="J97" s="44">
        <v>4786.79</v>
      </c>
      <c r="K97" s="40">
        <f t="shared" si="126"/>
        <v>5845.14</v>
      </c>
      <c r="L97" s="40">
        <f t="shared" si="127"/>
        <v>5845.14</v>
      </c>
      <c r="M97" s="82">
        <f t="shared" si="134"/>
        <v>0</v>
      </c>
      <c r="N97" s="82">
        <f t="shared" si="135"/>
        <v>0</v>
      </c>
      <c r="O97" s="82">
        <f t="shared" si="136"/>
        <v>0</v>
      </c>
      <c r="P97" s="82">
        <f t="shared" si="137"/>
        <v>5845.14</v>
      </c>
      <c r="Q97" s="82">
        <f t="shared" si="140"/>
        <v>0</v>
      </c>
      <c r="R97" s="82">
        <f t="shared" si="141"/>
        <v>0</v>
      </c>
      <c r="S97" s="36">
        <f t="shared" si="142"/>
        <v>100</v>
      </c>
      <c r="T97" s="33">
        <f t="shared" si="139"/>
        <v>0</v>
      </c>
      <c r="Y97" s="219">
        <f t="shared" si="138"/>
        <v>0</v>
      </c>
    </row>
    <row r="98" spans="1:25" customFormat="1" ht="25.5" x14ac:dyDescent="0.2">
      <c r="A98" s="41" t="s">
        <v>259</v>
      </c>
      <c r="B98" s="35">
        <v>804081</v>
      </c>
      <c r="C98" s="42" t="s">
        <v>260</v>
      </c>
      <c r="D98" s="39" t="s">
        <v>226</v>
      </c>
      <c r="E98" s="78">
        <v>1</v>
      </c>
      <c r="F98" s="45">
        <v>1</v>
      </c>
      <c r="G98" s="124"/>
      <c r="H98" s="45">
        <f t="shared" si="132"/>
        <v>1</v>
      </c>
      <c r="I98" s="44">
        <f t="shared" si="133"/>
        <v>0</v>
      </c>
      <c r="J98" s="44">
        <v>612.04</v>
      </c>
      <c r="K98" s="40">
        <f t="shared" si="126"/>
        <v>747.36</v>
      </c>
      <c r="L98" s="40">
        <f t="shared" si="127"/>
        <v>747.36</v>
      </c>
      <c r="M98" s="82">
        <f t="shared" si="134"/>
        <v>747.36</v>
      </c>
      <c r="N98" s="82">
        <f t="shared" si="135"/>
        <v>0</v>
      </c>
      <c r="O98" s="82">
        <f t="shared" si="136"/>
        <v>747.36</v>
      </c>
      <c r="P98" s="82">
        <f t="shared" si="137"/>
        <v>0</v>
      </c>
      <c r="Q98" s="82">
        <f t="shared" si="140"/>
        <v>0</v>
      </c>
      <c r="R98" s="82">
        <f t="shared" si="141"/>
        <v>100</v>
      </c>
      <c r="S98" s="36">
        <f t="shared" si="142"/>
        <v>0</v>
      </c>
      <c r="T98" s="33">
        <f t="shared" si="139"/>
        <v>747.36</v>
      </c>
      <c r="Y98" s="219">
        <f t="shared" si="138"/>
        <v>1</v>
      </c>
    </row>
    <row r="99" spans="1:25" customFormat="1" ht="25.5" x14ac:dyDescent="0.2">
      <c r="A99" s="41" t="s">
        <v>261</v>
      </c>
      <c r="B99" s="35">
        <v>804101</v>
      </c>
      <c r="C99" s="42" t="s">
        <v>262</v>
      </c>
      <c r="D99" s="39" t="s">
        <v>226</v>
      </c>
      <c r="E99" s="78">
        <v>7</v>
      </c>
      <c r="F99" s="45">
        <v>7</v>
      </c>
      <c r="G99" s="124">
        <v>0</v>
      </c>
      <c r="H99" s="45">
        <f t="shared" si="132"/>
        <v>7</v>
      </c>
      <c r="I99" s="44">
        <f t="shared" si="133"/>
        <v>0</v>
      </c>
      <c r="J99" s="44">
        <v>1033.8599999999999</v>
      </c>
      <c r="K99" s="40">
        <f t="shared" si="126"/>
        <v>1262.44</v>
      </c>
      <c r="L99" s="40">
        <f t="shared" si="127"/>
        <v>8837.08</v>
      </c>
      <c r="M99" s="82">
        <f t="shared" si="134"/>
        <v>8837.08</v>
      </c>
      <c r="N99" s="82">
        <f t="shared" si="135"/>
        <v>0</v>
      </c>
      <c r="O99" s="82">
        <f t="shared" si="136"/>
        <v>8837.08</v>
      </c>
      <c r="P99" s="82">
        <f t="shared" si="137"/>
        <v>0</v>
      </c>
      <c r="Q99" s="82">
        <f t="shared" si="140"/>
        <v>0</v>
      </c>
      <c r="R99" s="82">
        <f t="shared" si="141"/>
        <v>100</v>
      </c>
      <c r="S99" s="36">
        <f t="shared" si="142"/>
        <v>0</v>
      </c>
      <c r="T99" s="33">
        <f t="shared" si="139"/>
        <v>8837.08</v>
      </c>
      <c r="Y99" s="219">
        <f t="shared" si="138"/>
        <v>1</v>
      </c>
    </row>
    <row r="100" spans="1:25" customFormat="1" ht="25.5" x14ac:dyDescent="0.2">
      <c r="A100" s="41" t="s">
        <v>263</v>
      </c>
      <c r="B100" s="38">
        <v>804141</v>
      </c>
      <c r="C100" s="41" t="s">
        <v>264</v>
      </c>
      <c r="D100" s="39" t="s">
        <v>143</v>
      </c>
      <c r="E100" s="78">
        <v>16</v>
      </c>
      <c r="F100" s="45">
        <v>4</v>
      </c>
      <c r="G100" s="124">
        <v>2</v>
      </c>
      <c r="H100" s="45">
        <f t="shared" si="132"/>
        <v>6</v>
      </c>
      <c r="I100" s="44">
        <f t="shared" si="133"/>
        <v>10</v>
      </c>
      <c r="J100" s="44">
        <v>2129.0500000000002</v>
      </c>
      <c r="K100" s="40">
        <f t="shared" si="126"/>
        <v>2599.7800000000002</v>
      </c>
      <c r="L100" s="40">
        <f t="shared" si="127"/>
        <v>41596.480000000003</v>
      </c>
      <c r="M100" s="82">
        <f t="shared" si="134"/>
        <v>10399.120000000001</v>
      </c>
      <c r="N100" s="82">
        <f t="shared" si="135"/>
        <v>5199.5600000000004</v>
      </c>
      <c r="O100" s="82">
        <f t="shared" si="136"/>
        <v>15598.68</v>
      </c>
      <c r="P100" s="82">
        <f t="shared" si="137"/>
        <v>25997.8</v>
      </c>
      <c r="Q100" s="82">
        <f t="shared" si="140"/>
        <v>12.5</v>
      </c>
      <c r="R100" s="82">
        <f t="shared" si="141"/>
        <v>37.5</v>
      </c>
      <c r="S100" s="36">
        <f t="shared" si="142"/>
        <v>62.499999999999986</v>
      </c>
      <c r="T100" s="33">
        <f t="shared" si="139"/>
        <v>15598.680000000004</v>
      </c>
      <c r="Y100" s="219">
        <f t="shared" si="138"/>
        <v>0.375</v>
      </c>
    </row>
    <row r="101" spans="1:25" customFormat="1" ht="25.5" x14ac:dyDescent="0.2">
      <c r="A101" s="37" t="s">
        <v>265</v>
      </c>
      <c r="B101" s="38">
        <v>804253</v>
      </c>
      <c r="C101" s="41" t="s">
        <v>266</v>
      </c>
      <c r="D101" s="39" t="s">
        <v>226</v>
      </c>
      <c r="E101" s="78">
        <v>2</v>
      </c>
      <c r="F101" s="45">
        <v>2</v>
      </c>
      <c r="G101" s="124"/>
      <c r="H101" s="45">
        <f t="shared" si="132"/>
        <v>2</v>
      </c>
      <c r="I101" s="44">
        <f t="shared" si="133"/>
        <v>0</v>
      </c>
      <c r="J101" s="44">
        <v>2554.2199999999998</v>
      </c>
      <c r="K101" s="40">
        <f t="shared" si="126"/>
        <v>3118.95</v>
      </c>
      <c r="L101" s="40">
        <f t="shared" si="127"/>
        <v>6237.9</v>
      </c>
      <c r="M101" s="82">
        <f t="shared" si="134"/>
        <v>6237.9</v>
      </c>
      <c r="N101" s="82">
        <f t="shared" si="135"/>
        <v>0</v>
      </c>
      <c r="O101" s="82">
        <f t="shared" si="136"/>
        <v>6237.9</v>
      </c>
      <c r="P101" s="82">
        <f t="shared" si="137"/>
        <v>0</v>
      </c>
      <c r="Q101" s="82">
        <f t="shared" si="140"/>
        <v>0</v>
      </c>
      <c r="R101" s="82">
        <f t="shared" si="141"/>
        <v>100</v>
      </c>
      <c r="S101" s="36">
        <f t="shared" si="142"/>
        <v>0</v>
      </c>
      <c r="T101" s="33">
        <f t="shared" si="139"/>
        <v>6237.9</v>
      </c>
      <c r="Y101" s="219">
        <f t="shared" si="138"/>
        <v>1</v>
      </c>
    </row>
    <row r="102" spans="1:25" customFormat="1" ht="25.5" x14ac:dyDescent="0.2">
      <c r="A102" s="37" t="s">
        <v>267</v>
      </c>
      <c r="B102" s="35">
        <v>705338</v>
      </c>
      <c r="C102" s="41" t="s">
        <v>268</v>
      </c>
      <c r="D102" s="39" t="s">
        <v>226</v>
      </c>
      <c r="E102" s="78">
        <v>2</v>
      </c>
      <c r="F102" s="45">
        <v>0</v>
      </c>
      <c r="G102" s="124"/>
      <c r="H102" s="45">
        <f t="shared" si="132"/>
        <v>0</v>
      </c>
      <c r="I102" s="44">
        <f t="shared" si="133"/>
        <v>2</v>
      </c>
      <c r="J102" s="44">
        <v>41470.29</v>
      </c>
      <c r="K102" s="40">
        <f t="shared" si="126"/>
        <v>50639.37</v>
      </c>
      <c r="L102" s="40">
        <f t="shared" si="127"/>
        <v>101278.74</v>
      </c>
      <c r="M102" s="82">
        <f t="shared" si="134"/>
        <v>0</v>
      </c>
      <c r="N102" s="82">
        <f t="shared" si="135"/>
        <v>0</v>
      </c>
      <c r="O102" s="82">
        <f t="shared" si="136"/>
        <v>0</v>
      </c>
      <c r="P102" s="82">
        <f t="shared" si="137"/>
        <v>101278.74</v>
      </c>
      <c r="Q102" s="82">
        <f t="shared" si="140"/>
        <v>0</v>
      </c>
      <c r="R102" s="82">
        <f t="shared" si="141"/>
        <v>0</v>
      </c>
      <c r="S102" s="36">
        <f t="shared" si="142"/>
        <v>100</v>
      </c>
      <c r="T102" s="33">
        <f t="shared" si="139"/>
        <v>0</v>
      </c>
      <c r="Y102" s="219">
        <f t="shared" si="138"/>
        <v>0</v>
      </c>
    </row>
    <row r="103" spans="1:25" customFormat="1" ht="25.5" x14ac:dyDescent="0.2">
      <c r="A103" s="37" t="s">
        <v>269</v>
      </c>
      <c r="B103" s="35">
        <v>705303</v>
      </c>
      <c r="C103" s="41" t="s">
        <v>270</v>
      </c>
      <c r="D103" s="39" t="s">
        <v>37</v>
      </c>
      <c r="E103" s="78">
        <v>26</v>
      </c>
      <c r="F103" s="45">
        <v>0</v>
      </c>
      <c r="G103" s="124"/>
      <c r="H103" s="45">
        <f t="shared" si="132"/>
        <v>0</v>
      </c>
      <c r="I103" s="44">
        <f t="shared" si="133"/>
        <v>26</v>
      </c>
      <c r="J103" s="44">
        <v>9354.83</v>
      </c>
      <c r="K103" s="40">
        <f t="shared" si="126"/>
        <v>11423.18</v>
      </c>
      <c r="L103" s="40">
        <f t="shared" si="127"/>
        <v>297002.68</v>
      </c>
      <c r="M103" s="82">
        <f t="shared" si="134"/>
        <v>0</v>
      </c>
      <c r="N103" s="82">
        <f t="shared" si="135"/>
        <v>0</v>
      </c>
      <c r="O103" s="82">
        <f t="shared" si="136"/>
        <v>0</v>
      </c>
      <c r="P103" s="82">
        <f t="shared" si="137"/>
        <v>297002.68</v>
      </c>
      <c r="Q103" s="82">
        <f t="shared" si="140"/>
        <v>0</v>
      </c>
      <c r="R103" s="82">
        <f t="shared" si="141"/>
        <v>0</v>
      </c>
      <c r="S103" s="36">
        <f t="shared" si="142"/>
        <v>100</v>
      </c>
      <c r="T103" s="33">
        <f t="shared" si="139"/>
        <v>0</v>
      </c>
      <c r="Y103" s="219">
        <f t="shared" si="138"/>
        <v>0</v>
      </c>
    </row>
    <row r="104" spans="1:25" customFormat="1" ht="12.75" x14ac:dyDescent="0.2">
      <c r="A104" s="37" t="s">
        <v>271</v>
      </c>
      <c r="B104" s="38" t="s">
        <v>272</v>
      </c>
      <c r="C104" s="41" t="s">
        <v>273</v>
      </c>
      <c r="D104" s="39" t="s">
        <v>14</v>
      </c>
      <c r="E104" s="78">
        <v>39</v>
      </c>
      <c r="F104" s="45">
        <v>26.009000000000004</v>
      </c>
      <c r="G104" s="124"/>
      <c r="H104" s="45">
        <f t="shared" si="132"/>
        <v>26.009000000000004</v>
      </c>
      <c r="I104" s="44">
        <f t="shared" si="133"/>
        <v>12.99</v>
      </c>
      <c r="J104" s="44">
        <v>492.07</v>
      </c>
      <c r="K104" s="40">
        <f t="shared" si="126"/>
        <v>600.86</v>
      </c>
      <c r="L104" s="40">
        <f t="shared" si="127"/>
        <v>23433.54</v>
      </c>
      <c r="M104" s="82">
        <f t="shared" si="134"/>
        <v>15627.77</v>
      </c>
      <c r="N104" s="82">
        <f t="shared" si="135"/>
        <v>0</v>
      </c>
      <c r="O104" s="82">
        <f t="shared" si="136"/>
        <v>15627.77</v>
      </c>
      <c r="P104" s="82">
        <f t="shared" si="137"/>
        <v>7805.17</v>
      </c>
      <c r="Q104" s="82">
        <f t="shared" si="140"/>
        <v>0</v>
      </c>
      <c r="R104" s="82">
        <f t="shared" si="141"/>
        <v>66.689753234039756</v>
      </c>
      <c r="S104" s="36">
        <f t="shared" si="142"/>
        <v>33.307686333349551</v>
      </c>
      <c r="T104" s="33">
        <f t="shared" si="139"/>
        <v>15628.37</v>
      </c>
      <c r="Y104" s="219">
        <f t="shared" si="138"/>
        <v>0.66689753234039761</v>
      </c>
    </row>
    <row r="105" spans="1:25" customFormat="1" ht="25.5" x14ac:dyDescent="0.2">
      <c r="A105" s="37" t="s">
        <v>274</v>
      </c>
      <c r="B105" s="35">
        <v>804015</v>
      </c>
      <c r="C105" s="41" t="s">
        <v>275</v>
      </c>
      <c r="D105" s="39" t="s">
        <v>37</v>
      </c>
      <c r="E105" s="78">
        <v>39</v>
      </c>
      <c r="F105" s="45">
        <v>39</v>
      </c>
      <c r="G105" s="124"/>
      <c r="H105" s="45">
        <f t="shared" si="132"/>
        <v>39</v>
      </c>
      <c r="I105" s="44">
        <f t="shared" si="133"/>
        <v>0</v>
      </c>
      <c r="J105" s="44">
        <v>213.66</v>
      </c>
      <c r="K105" s="40">
        <f t="shared" si="126"/>
        <v>260.89999999999998</v>
      </c>
      <c r="L105" s="40">
        <f t="shared" si="127"/>
        <v>10175.1</v>
      </c>
      <c r="M105" s="82">
        <f t="shared" si="134"/>
        <v>10175.1</v>
      </c>
      <c r="N105" s="82">
        <f t="shared" si="135"/>
        <v>0</v>
      </c>
      <c r="O105" s="82">
        <f t="shared" si="136"/>
        <v>10175.1</v>
      </c>
      <c r="P105" s="82">
        <f t="shared" si="137"/>
        <v>0</v>
      </c>
      <c r="Q105" s="82">
        <f t="shared" si="140"/>
        <v>0</v>
      </c>
      <c r="R105" s="82">
        <f t="shared" si="141"/>
        <v>100</v>
      </c>
      <c r="S105" s="36">
        <f t="shared" si="142"/>
        <v>0</v>
      </c>
      <c r="T105" s="33">
        <f t="shared" si="139"/>
        <v>10175.1</v>
      </c>
      <c r="Y105" s="219">
        <f>O105/L105</f>
        <v>1</v>
      </c>
    </row>
    <row r="106" spans="1:25" customFormat="1" ht="25.5" x14ac:dyDescent="0.2">
      <c r="A106" s="37" t="s">
        <v>276</v>
      </c>
      <c r="B106" s="35">
        <v>804023</v>
      </c>
      <c r="C106" s="41" t="s">
        <v>277</v>
      </c>
      <c r="D106" s="39" t="s">
        <v>37</v>
      </c>
      <c r="E106" s="78">
        <v>141</v>
      </c>
      <c r="F106" s="45">
        <v>141</v>
      </c>
      <c r="G106" s="124"/>
      <c r="H106" s="45">
        <f t="shared" si="132"/>
        <v>141</v>
      </c>
      <c r="I106" s="44">
        <f t="shared" si="133"/>
        <v>0</v>
      </c>
      <c r="J106" s="44">
        <v>349.91</v>
      </c>
      <c r="K106" s="40">
        <f t="shared" si="126"/>
        <v>427.27</v>
      </c>
      <c r="L106" s="40">
        <f t="shared" si="127"/>
        <v>60245.07</v>
      </c>
      <c r="M106" s="82">
        <f t="shared" si="134"/>
        <v>60245.07</v>
      </c>
      <c r="N106" s="82">
        <f t="shared" si="135"/>
        <v>0</v>
      </c>
      <c r="O106" s="82">
        <f t="shared" si="136"/>
        <v>60245.07</v>
      </c>
      <c r="P106" s="82">
        <f t="shared" si="137"/>
        <v>0</v>
      </c>
      <c r="Q106" s="82">
        <f t="shared" si="140"/>
        <v>0</v>
      </c>
      <c r="R106" s="82">
        <f t="shared" si="141"/>
        <v>100</v>
      </c>
      <c r="S106" s="36">
        <f t="shared" si="142"/>
        <v>0</v>
      </c>
      <c r="T106" s="33">
        <f t="shared" si="139"/>
        <v>60245.07</v>
      </c>
      <c r="Y106" s="219">
        <f t="shared" si="138"/>
        <v>1</v>
      </c>
    </row>
    <row r="107" spans="1:25" customFormat="1" ht="25.5" x14ac:dyDescent="0.2">
      <c r="A107" s="37" t="s">
        <v>278</v>
      </c>
      <c r="B107" s="35">
        <v>804031</v>
      </c>
      <c r="C107" s="41" t="s">
        <v>279</v>
      </c>
      <c r="D107" s="39" t="s">
        <v>37</v>
      </c>
      <c r="E107" s="78">
        <v>104</v>
      </c>
      <c r="F107" s="45">
        <v>104</v>
      </c>
      <c r="G107" s="124"/>
      <c r="H107" s="45">
        <f t="shared" si="132"/>
        <v>104</v>
      </c>
      <c r="I107" s="44">
        <f t="shared" si="133"/>
        <v>0</v>
      </c>
      <c r="J107" s="44">
        <v>503.75</v>
      </c>
      <c r="K107" s="40">
        <f t="shared" si="126"/>
        <v>615.12</v>
      </c>
      <c r="L107" s="40">
        <f t="shared" si="127"/>
        <v>63972.480000000003</v>
      </c>
      <c r="M107" s="82">
        <f t="shared" si="134"/>
        <v>63972.480000000003</v>
      </c>
      <c r="N107" s="82">
        <f t="shared" si="135"/>
        <v>0</v>
      </c>
      <c r="O107" s="82">
        <f t="shared" si="136"/>
        <v>63972.480000000003</v>
      </c>
      <c r="P107" s="82">
        <f t="shared" si="137"/>
        <v>0</v>
      </c>
      <c r="Q107" s="82">
        <f t="shared" si="140"/>
        <v>0</v>
      </c>
      <c r="R107" s="82">
        <f t="shared" si="141"/>
        <v>100</v>
      </c>
      <c r="S107" s="36">
        <f t="shared" si="142"/>
        <v>0</v>
      </c>
      <c r="T107" s="33">
        <f t="shared" si="139"/>
        <v>63972.480000000003</v>
      </c>
      <c r="Y107" s="219">
        <f t="shared" si="138"/>
        <v>1</v>
      </c>
    </row>
    <row r="108" spans="1:25" customFormat="1" ht="25.5" x14ac:dyDescent="0.2">
      <c r="A108" s="37" t="s">
        <v>280</v>
      </c>
      <c r="B108" s="38">
        <v>804047</v>
      </c>
      <c r="C108" s="41" t="s">
        <v>281</v>
      </c>
      <c r="D108" s="39" t="s">
        <v>37</v>
      </c>
      <c r="E108" s="78">
        <v>17</v>
      </c>
      <c r="F108" s="45">
        <v>17</v>
      </c>
      <c r="G108" s="124"/>
      <c r="H108" s="45">
        <f t="shared" si="132"/>
        <v>17</v>
      </c>
      <c r="I108" s="44">
        <f t="shared" si="133"/>
        <v>0</v>
      </c>
      <c r="J108" s="44">
        <v>884.4</v>
      </c>
      <c r="K108" s="40">
        <f t="shared" si="126"/>
        <v>1079.94</v>
      </c>
      <c r="L108" s="40">
        <f t="shared" si="127"/>
        <v>18358.98</v>
      </c>
      <c r="M108" s="82">
        <f t="shared" si="134"/>
        <v>18358.98</v>
      </c>
      <c r="N108" s="82">
        <f t="shared" si="135"/>
        <v>0</v>
      </c>
      <c r="O108" s="82">
        <f t="shared" si="136"/>
        <v>18358.98</v>
      </c>
      <c r="P108" s="82">
        <f t="shared" si="137"/>
        <v>0</v>
      </c>
      <c r="Q108" s="82">
        <f t="shared" si="140"/>
        <v>0</v>
      </c>
      <c r="R108" s="82">
        <f t="shared" si="141"/>
        <v>100</v>
      </c>
      <c r="S108" s="36">
        <f t="shared" si="142"/>
        <v>0</v>
      </c>
      <c r="T108" s="33">
        <f t="shared" si="139"/>
        <v>18358.98</v>
      </c>
      <c r="Y108" s="219">
        <f t="shared" si="138"/>
        <v>1</v>
      </c>
    </row>
    <row r="109" spans="1:25" customFormat="1" ht="25.5" x14ac:dyDescent="0.2">
      <c r="A109" s="37" t="s">
        <v>282</v>
      </c>
      <c r="B109" s="35">
        <v>804199</v>
      </c>
      <c r="C109" s="37" t="s">
        <v>283</v>
      </c>
      <c r="D109" s="39" t="s">
        <v>37</v>
      </c>
      <c r="E109" s="78">
        <v>21</v>
      </c>
      <c r="F109" s="45">
        <v>21</v>
      </c>
      <c r="G109" s="124"/>
      <c r="H109" s="45">
        <f t="shared" si="132"/>
        <v>21</v>
      </c>
      <c r="I109" s="44">
        <f t="shared" si="133"/>
        <v>0</v>
      </c>
      <c r="J109" s="44">
        <v>1719.09</v>
      </c>
      <c r="K109" s="40">
        <f t="shared" si="126"/>
        <v>2099.1799999999998</v>
      </c>
      <c r="L109" s="40">
        <f t="shared" si="127"/>
        <v>44082.78</v>
      </c>
      <c r="M109" s="82">
        <f t="shared" si="134"/>
        <v>44082.78</v>
      </c>
      <c r="N109" s="82">
        <f t="shared" si="135"/>
        <v>0</v>
      </c>
      <c r="O109" s="82">
        <f t="shared" si="136"/>
        <v>44082.78</v>
      </c>
      <c r="P109" s="82">
        <f t="shared" si="137"/>
        <v>0</v>
      </c>
      <c r="Q109" s="82">
        <f t="shared" si="140"/>
        <v>0</v>
      </c>
      <c r="R109" s="82">
        <f t="shared" si="141"/>
        <v>100</v>
      </c>
      <c r="S109" s="36">
        <f t="shared" si="142"/>
        <v>0</v>
      </c>
      <c r="T109" s="33">
        <f t="shared" si="139"/>
        <v>44082.78</v>
      </c>
      <c r="Y109" s="219">
        <f t="shared" si="138"/>
        <v>1</v>
      </c>
    </row>
    <row r="110" spans="1:25" customFormat="1" ht="25.5" x14ac:dyDescent="0.2">
      <c r="A110" s="37" t="s">
        <v>284</v>
      </c>
      <c r="B110" s="38" t="s">
        <v>285</v>
      </c>
      <c r="C110" s="43" t="s">
        <v>286</v>
      </c>
      <c r="D110" s="39" t="s">
        <v>22</v>
      </c>
      <c r="E110" s="78">
        <v>9</v>
      </c>
      <c r="F110" s="45">
        <v>0</v>
      </c>
      <c r="G110" s="124">
        <v>5</v>
      </c>
      <c r="H110" s="45">
        <f t="shared" si="132"/>
        <v>5</v>
      </c>
      <c r="I110" s="44">
        <f t="shared" si="133"/>
        <v>4</v>
      </c>
      <c r="J110" s="44">
        <v>4416.04</v>
      </c>
      <c r="K110" s="40">
        <f t="shared" si="126"/>
        <v>5392.42</v>
      </c>
      <c r="L110" s="40">
        <f t="shared" si="127"/>
        <v>48531.78</v>
      </c>
      <c r="M110" s="82">
        <f t="shared" si="134"/>
        <v>0</v>
      </c>
      <c r="N110" s="82">
        <f t="shared" si="135"/>
        <v>26962.1</v>
      </c>
      <c r="O110" s="82">
        <f t="shared" si="136"/>
        <v>26962.1</v>
      </c>
      <c r="P110" s="82">
        <f t="shared" si="137"/>
        <v>21569.68</v>
      </c>
      <c r="Q110" s="82">
        <f t="shared" si="140"/>
        <v>55.555555555555557</v>
      </c>
      <c r="R110" s="82">
        <f t="shared" si="141"/>
        <v>55.555555555555557</v>
      </c>
      <c r="S110" s="36">
        <f t="shared" si="142"/>
        <v>44.44444444444445</v>
      </c>
      <c r="T110" s="33">
        <f t="shared" si="139"/>
        <v>26962.1</v>
      </c>
      <c r="Y110" s="219">
        <f t="shared" si="138"/>
        <v>0.55555555555555558</v>
      </c>
    </row>
    <row r="111" spans="1:25" customFormat="1" ht="25.5" x14ac:dyDescent="0.2">
      <c r="A111" s="37" t="s">
        <v>287</v>
      </c>
      <c r="B111" s="38" t="s">
        <v>288</v>
      </c>
      <c r="C111" s="43" t="s">
        <v>289</v>
      </c>
      <c r="D111" s="39" t="s">
        <v>22</v>
      </c>
      <c r="E111" s="78">
        <v>3</v>
      </c>
      <c r="F111" s="45">
        <v>0</v>
      </c>
      <c r="G111" s="124"/>
      <c r="H111" s="45">
        <f t="shared" si="132"/>
        <v>0</v>
      </c>
      <c r="I111" s="44">
        <f t="shared" si="133"/>
        <v>3</v>
      </c>
      <c r="J111" s="44">
        <v>2315.91</v>
      </c>
      <c r="K111" s="40">
        <f t="shared" si="126"/>
        <v>2827.95</v>
      </c>
      <c r="L111" s="40">
        <f t="shared" si="127"/>
        <v>8483.85</v>
      </c>
      <c r="M111" s="82">
        <f t="shared" si="134"/>
        <v>0</v>
      </c>
      <c r="N111" s="82">
        <f t="shared" si="135"/>
        <v>0</v>
      </c>
      <c r="O111" s="82">
        <f t="shared" si="136"/>
        <v>0</v>
      </c>
      <c r="P111" s="82">
        <f t="shared" si="137"/>
        <v>8483.85</v>
      </c>
      <c r="Q111" s="82">
        <f t="shared" si="140"/>
        <v>0</v>
      </c>
      <c r="R111" s="82">
        <f t="shared" si="141"/>
        <v>0</v>
      </c>
      <c r="S111" s="36">
        <f t="shared" si="142"/>
        <v>100</v>
      </c>
      <c r="T111" s="33">
        <f t="shared" si="139"/>
        <v>0</v>
      </c>
      <c r="Y111" s="219">
        <f t="shared" si="138"/>
        <v>0</v>
      </c>
    </row>
    <row r="112" spans="1:25" customFormat="1" ht="12.75" x14ac:dyDescent="0.2">
      <c r="A112" s="37" t="s">
        <v>290</v>
      </c>
      <c r="B112" s="38" t="s">
        <v>291</v>
      </c>
      <c r="C112" s="37" t="s">
        <v>292</v>
      </c>
      <c r="D112" s="39" t="s">
        <v>29</v>
      </c>
      <c r="E112" s="78">
        <v>15.2</v>
      </c>
      <c r="F112" s="45">
        <v>0</v>
      </c>
      <c r="G112" s="124"/>
      <c r="H112" s="45">
        <f t="shared" si="132"/>
        <v>0</v>
      </c>
      <c r="I112" s="44">
        <f t="shared" si="133"/>
        <v>15.2</v>
      </c>
      <c r="J112" s="44">
        <v>213.9</v>
      </c>
      <c r="K112" s="40">
        <f t="shared" si="126"/>
        <v>261.19</v>
      </c>
      <c r="L112" s="40">
        <f t="shared" si="127"/>
        <v>3970.08</v>
      </c>
      <c r="M112" s="82">
        <f t="shared" si="134"/>
        <v>0</v>
      </c>
      <c r="N112" s="82">
        <f t="shared" si="135"/>
        <v>0</v>
      </c>
      <c r="O112" s="82">
        <f t="shared" si="136"/>
        <v>0</v>
      </c>
      <c r="P112" s="82">
        <f>L112-O112</f>
        <v>3970.08</v>
      </c>
      <c r="Q112" s="82">
        <f t="shared" si="140"/>
        <v>0</v>
      </c>
      <c r="R112" s="82">
        <f t="shared" si="141"/>
        <v>0</v>
      </c>
      <c r="S112" s="36">
        <f t="shared" si="142"/>
        <v>100</v>
      </c>
      <c r="T112" s="33">
        <f t="shared" si="139"/>
        <v>0</v>
      </c>
      <c r="Y112" s="219">
        <f t="shared" si="138"/>
        <v>0</v>
      </c>
    </row>
    <row r="113" spans="1:25" customFormat="1" ht="12.75" x14ac:dyDescent="0.2">
      <c r="A113" s="70" t="s">
        <v>45</v>
      </c>
      <c r="B113" s="71"/>
      <c r="C113" s="70" t="s">
        <v>293</v>
      </c>
      <c r="D113" s="72"/>
      <c r="E113" s="81" t="s">
        <v>445</v>
      </c>
      <c r="F113" s="73"/>
      <c r="G113" s="73"/>
      <c r="H113" s="73"/>
      <c r="I113" s="73"/>
      <c r="J113" s="74" t="s">
        <v>445</v>
      </c>
      <c r="K113" s="75"/>
      <c r="L113" s="85">
        <f>SUM(L114:L119)</f>
        <v>448615.87</v>
      </c>
      <c r="M113" s="85">
        <f t="shared" ref="M113:P113" si="143">SUM(M114:M119)</f>
        <v>87035.29</v>
      </c>
      <c r="N113" s="85">
        <f t="shared" si="143"/>
        <v>0</v>
      </c>
      <c r="O113" s="85">
        <f t="shared" si="143"/>
        <v>87035.29</v>
      </c>
      <c r="P113" s="85">
        <f t="shared" si="143"/>
        <v>361583.44</v>
      </c>
      <c r="Q113" s="85">
        <f t="shared" si="140"/>
        <v>0</v>
      </c>
      <c r="R113" s="85">
        <f t="shared" si="141"/>
        <v>19.400849550864084</v>
      </c>
      <c r="S113" s="77">
        <f t="shared" si="142"/>
        <v>80.599787965592924</v>
      </c>
      <c r="T113" s="33">
        <f t="shared" si="139"/>
        <v>87032.43</v>
      </c>
      <c r="Y113" s="219">
        <f t="shared" si="138"/>
        <v>0.19400849550864083</v>
      </c>
    </row>
    <row r="114" spans="1:25" customFormat="1" ht="25.5" x14ac:dyDescent="0.2">
      <c r="A114" s="37" t="s">
        <v>294</v>
      </c>
      <c r="B114" s="38" t="s">
        <v>295</v>
      </c>
      <c r="C114" s="37" t="s">
        <v>296</v>
      </c>
      <c r="D114" s="39" t="s">
        <v>29</v>
      </c>
      <c r="E114" s="78">
        <v>1425</v>
      </c>
      <c r="F114" s="45">
        <v>322.98882439024385</v>
      </c>
      <c r="G114" s="45"/>
      <c r="H114" s="45">
        <f t="shared" ref="H114" si="144">F114+G114</f>
        <v>322.98882439024385</v>
      </c>
      <c r="I114" s="44">
        <f t="shared" ref="I114" si="145">ROUND(E114-H114,2)</f>
        <v>1102.01</v>
      </c>
      <c r="J114" s="44">
        <v>62.55</v>
      </c>
      <c r="K114" s="40">
        <f t="shared" ref="K114:K119" si="146">TRUNC(J114*1.2211,2)</f>
        <v>76.37</v>
      </c>
      <c r="L114" s="40">
        <f t="shared" ref="L114:L119" si="147">TRUNC(E114*K114,2)</f>
        <v>108827.25</v>
      </c>
      <c r="M114" s="82">
        <f t="shared" ref="M114" si="148">ROUND(F114*$K114,2)</f>
        <v>24666.66</v>
      </c>
      <c r="N114" s="82">
        <f t="shared" ref="N114" si="149">ROUND(G114*$K114,2)</f>
        <v>0</v>
      </c>
      <c r="O114" s="82">
        <f t="shared" ref="O114" si="150">ROUND(H114*$K114,2)</f>
        <v>24666.66</v>
      </c>
      <c r="P114" s="82">
        <f t="shared" ref="P114" si="151">ROUND(I114*$K114,2)</f>
        <v>84160.5</v>
      </c>
      <c r="Q114" s="82">
        <f t="shared" si="140"/>
        <v>0</v>
      </c>
      <c r="R114" s="82">
        <f t="shared" si="141"/>
        <v>22.665885612289202</v>
      </c>
      <c r="S114" s="36">
        <f t="shared" si="142"/>
        <v>77.334031687835534</v>
      </c>
      <c r="T114" s="33">
        <f t="shared" si="139"/>
        <v>24666.75</v>
      </c>
      <c r="Y114" s="219">
        <f t="shared" si="138"/>
        <v>0.22665885612289202</v>
      </c>
    </row>
    <row r="115" spans="1:25" customFormat="1" ht="25.5" x14ac:dyDescent="0.2">
      <c r="A115" s="37" t="s">
        <v>297</v>
      </c>
      <c r="B115" s="38" t="s">
        <v>298</v>
      </c>
      <c r="C115" s="37" t="s">
        <v>299</v>
      </c>
      <c r="D115" s="39" t="s">
        <v>87</v>
      </c>
      <c r="E115" s="78">
        <v>9263</v>
      </c>
      <c r="F115" s="45">
        <v>1670.1649559485604</v>
      </c>
      <c r="G115" s="45"/>
      <c r="H115" s="45">
        <f t="shared" ref="H115:H119" si="152">F115+G115</f>
        <v>1670.1649559485604</v>
      </c>
      <c r="I115" s="44">
        <f t="shared" ref="I115:I119" si="153">ROUND(E115-H115,2)</f>
        <v>7592.84</v>
      </c>
      <c r="J115" s="44">
        <v>13.34</v>
      </c>
      <c r="K115" s="40">
        <f t="shared" si="146"/>
        <v>16.28</v>
      </c>
      <c r="L115" s="40">
        <f t="shared" si="147"/>
        <v>150801.64000000001</v>
      </c>
      <c r="M115" s="82">
        <f t="shared" ref="M115:M119" si="154">ROUND(F115*$K115,2)</f>
        <v>27190.29</v>
      </c>
      <c r="N115" s="82">
        <f t="shared" ref="N115:N119" si="155">ROUND(G115*$K115,2)</f>
        <v>0</v>
      </c>
      <c r="O115" s="82">
        <f t="shared" ref="O115:O119" si="156">ROUND(H115*$K115,2)</f>
        <v>27190.29</v>
      </c>
      <c r="P115" s="82">
        <f t="shared" ref="P115:P119" si="157">ROUND(I115*$K115,2)</f>
        <v>123611.44</v>
      </c>
      <c r="Q115" s="82">
        <f t="shared" si="140"/>
        <v>0</v>
      </c>
      <c r="R115" s="82">
        <f t="shared" si="141"/>
        <v>18.030500198804202</v>
      </c>
      <c r="S115" s="36">
        <f t="shared" si="142"/>
        <v>81.96955948224435</v>
      </c>
      <c r="T115" s="33">
        <f t="shared" si="139"/>
        <v>27190.200000000012</v>
      </c>
      <c r="Y115" s="219">
        <f t="shared" si="138"/>
        <v>0.18030500198804203</v>
      </c>
    </row>
    <row r="116" spans="1:25" customFormat="1" ht="25.5" x14ac:dyDescent="0.2">
      <c r="A116" s="37" t="s">
        <v>300</v>
      </c>
      <c r="B116" s="38" t="s">
        <v>301</v>
      </c>
      <c r="C116" s="37" t="s">
        <v>302</v>
      </c>
      <c r="D116" s="39" t="s">
        <v>87</v>
      </c>
      <c r="E116" s="78">
        <v>4703</v>
      </c>
      <c r="F116" s="45">
        <v>975.46498716302949</v>
      </c>
      <c r="G116" s="45"/>
      <c r="H116" s="45">
        <f t="shared" si="152"/>
        <v>975.46498716302949</v>
      </c>
      <c r="I116" s="44">
        <f t="shared" si="153"/>
        <v>3727.54</v>
      </c>
      <c r="J116" s="44">
        <v>12.49</v>
      </c>
      <c r="K116" s="40">
        <f t="shared" si="146"/>
        <v>15.25</v>
      </c>
      <c r="L116" s="40">
        <f t="shared" si="147"/>
        <v>71720.75</v>
      </c>
      <c r="M116" s="82">
        <f t="shared" si="154"/>
        <v>14875.84</v>
      </c>
      <c r="N116" s="82">
        <f t="shared" si="155"/>
        <v>0</v>
      </c>
      <c r="O116" s="82">
        <f t="shared" si="156"/>
        <v>14875.84</v>
      </c>
      <c r="P116" s="82">
        <f t="shared" si="157"/>
        <v>56844.99</v>
      </c>
      <c r="Q116" s="82">
        <f t="shared" si="140"/>
        <v>0</v>
      </c>
      <c r="R116" s="82">
        <f t="shared" si="141"/>
        <v>20.741333575011417</v>
      </c>
      <c r="S116" s="36">
        <f t="shared" si="142"/>
        <v>79.258777968718945</v>
      </c>
      <c r="T116" s="33">
        <f t="shared" si="139"/>
        <v>14875.760000000002</v>
      </c>
      <c r="Y116" s="219">
        <f t="shared" si="138"/>
        <v>0.20741333575011417</v>
      </c>
    </row>
    <row r="117" spans="1:25" customFormat="1" ht="25.5" x14ac:dyDescent="0.2">
      <c r="A117" s="37" t="s">
        <v>303</v>
      </c>
      <c r="B117" s="38" t="s">
        <v>304</v>
      </c>
      <c r="C117" s="37" t="s">
        <v>305</v>
      </c>
      <c r="D117" s="39" t="s">
        <v>14</v>
      </c>
      <c r="E117" s="78">
        <v>152</v>
      </c>
      <c r="F117" s="45">
        <v>31.624329268292676</v>
      </c>
      <c r="G117" s="45"/>
      <c r="H117" s="45">
        <f t="shared" si="152"/>
        <v>31.624329268292676</v>
      </c>
      <c r="I117" s="44">
        <f t="shared" si="153"/>
        <v>120.38</v>
      </c>
      <c r="J117" s="44">
        <v>525.75</v>
      </c>
      <c r="K117" s="40">
        <f t="shared" si="146"/>
        <v>641.99</v>
      </c>
      <c r="L117" s="40">
        <f t="shared" si="147"/>
        <v>97582.48</v>
      </c>
      <c r="M117" s="82">
        <f t="shared" si="154"/>
        <v>20302.5</v>
      </c>
      <c r="N117" s="82">
        <f t="shared" si="155"/>
        <v>0</v>
      </c>
      <c r="O117" s="82">
        <f t="shared" si="156"/>
        <v>20302.5</v>
      </c>
      <c r="P117" s="82">
        <f t="shared" si="157"/>
        <v>77282.759999999995</v>
      </c>
      <c r="Q117" s="82">
        <f t="shared" si="140"/>
        <v>0</v>
      </c>
      <c r="R117" s="82">
        <f t="shared" si="141"/>
        <v>20.805476556857339</v>
      </c>
      <c r="S117" s="36">
        <f t="shared" si="142"/>
        <v>79.197372315194286</v>
      </c>
      <c r="T117" s="33">
        <f t="shared" si="139"/>
        <v>20299.72</v>
      </c>
      <c r="Y117" s="219">
        <f t="shared" si="138"/>
        <v>0.20805476556857339</v>
      </c>
    </row>
    <row r="118" spans="1:25" customFormat="1" ht="25.5" x14ac:dyDescent="0.2">
      <c r="A118" s="37" t="s">
        <v>306</v>
      </c>
      <c r="B118" s="38" t="s">
        <v>307</v>
      </c>
      <c r="C118" s="37" t="s">
        <v>308</v>
      </c>
      <c r="D118" s="39" t="s">
        <v>29</v>
      </c>
      <c r="E118" s="78">
        <v>275</v>
      </c>
      <c r="F118" s="45">
        <v>0</v>
      </c>
      <c r="G118" s="45"/>
      <c r="H118" s="45">
        <f t="shared" si="152"/>
        <v>0</v>
      </c>
      <c r="I118" s="44">
        <f t="shared" si="153"/>
        <v>275</v>
      </c>
      <c r="J118" s="44">
        <v>26.65</v>
      </c>
      <c r="K118" s="40">
        <f t="shared" si="146"/>
        <v>32.54</v>
      </c>
      <c r="L118" s="40">
        <f t="shared" si="147"/>
        <v>8948.5</v>
      </c>
      <c r="M118" s="82">
        <f t="shared" si="154"/>
        <v>0</v>
      </c>
      <c r="N118" s="82">
        <f t="shared" si="155"/>
        <v>0</v>
      </c>
      <c r="O118" s="82">
        <f t="shared" si="156"/>
        <v>0</v>
      </c>
      <c r="P118" s="82">
        <f t="shared" si="157"/>
        <v>8948.5</v>
      </c>
      <c r="Q118" s="82">
        <f t="shared" si="140"/>
        <v>0</v>
      </c>
      <c r="R118" s="82">
        <f t="shared" si="141"/>
        <v>0</v>
      </c>
      <c r="S118" s="36">
        <f t="shared" si="142"/>
        <v>100</v>
      </c>
      <c r="T118" s="33">
        <f t="shared" si="139"/>
        <v>0</v>
      </c>
      <c r="Y118" s="219">
        <f t="shared" si="138"/>
        <v>0</v>
      </c>
    </row>
    <row r="119" spans="1:25" customFormat="1" ht="25.5" x14ac:dyDescent="0.2">
      <c r="A119" s="37" t="s">
        <v>309</v>
      </c>
      <c r="B119" s="38" t="s">
        <v>310</v>
      </c>
      <c r="C119" s="37" t="s">
        <v>311</v>
      </c>
      <c r="D119" s="39" t="s">
        <v>14</v>
      </c>
      <c r="E119" s="78">
        <v>23</v>
      </c>
      <c r="F119" s="45">
        <v>0</v>
      </c>
      <c r="G119" s="45"/>
      <c r="H119" s="45">
        <f t="shared" si="152"/>
        <v>0</v>
      </c>
      <c r="I119" s="44">
        <f t="shared" si="153"/>
        <v>23</v>
      </c>
      <c r="J119" s="44">
        <v>382.24</v>
      </c>
      <c r="K119" s="40">
        <f t="shared" si="146"/>
        <v>466.75</v>
      </c>
      <c r="L119" s="40">
        <f t="shared" si="147"/>
        <v>10735.25</v>
      </c>
      <c r="M119" s="82">
        <f t="shared" si="154"/>
        <v>0</v>
      </c>
      <c r="N119" s="82">
        <f t="shared" si="155"/>
        <v>0</v>
      </c>
      <c r="O119" s="82">
        <f t="shared" si="156"/>
        <v>0</v>
      </c>
      <c r="P119" s="82">
        <f t="shared" si="157"/>
        <v>10735.25</v>
      </c>
      <c r="Q119" s="82">
        <f t="shared" si="140"/>
        <v>0</v>
      </c>
      <c r="R119" s="82">
        <f t="shared" si="141"/>
        <v>0</v>
      </c>
      <c r="S119" s="36">
        <f t="shared" si="142"/>
        <v>100</v>
      </c>
      <c r="T119" s="33">
        <f t="shared" si="139"/>
        <v>0</v>
      </c>
      <c r="Y119" s="219">
        <f t="shared" si="138"/>
        <v>0</v>
      </c>
    </row>
    <row r="120" spans="1:25" customFormat="1" ht="12.75" x14ac:dyDescent="0.2">
      <c r="A120" s="70" t="s">
        <v>312</v>
      </c>
      <c r="B120" s="71"/>
      <c r="C120" s="70" t="s">
        <v>313</v>
      </c>
      <c r="D120" s="72"/>
      <c r="E120" s="81" t="s">
        <v>445</v>
      </c>
      <c r="F120" s="73"/>
      <c r="G120" s="73"/>
      <c r="H120" s="73"/>
      <c r="I120" s="73"/>
      <c r="J120" s="74" t="s">
        <v>445</v>
      </c>
      <c r="K120" s="75"/>
      <c r="L120" s="85">
        <f>SUM(L121:L123)</f>
        <v>16114.51</v>
      </c>
      <c r="M120" s="85">
        <f t="shared" ref="M120:P120" si="158">SUM(M121:M123)</f>
        <v>0</v>
      </c>
      <c r="N120" s="85">
        <f t="shared" si="158"/>
        <v>0</v>
      </c>
      <c r="O120" s="85">
        <f t="shared" si="158"/>
        <v>0</v>
      </c>
      <c r="P120" s="85">
        <f t="shared" si="158"/>
        <v>16114.51</v>
      </c>
      <c r="Q120" s="85">
        <f t="shared" si="140"/>
        <v>0</v>
      </c>
      <c r="R120" s="85">
        <f t="shared" si="141"/>
        <v>0</v>
      </c>
      <c r="S120" s="77">
        <f t="shared" si="142"/>
        <v>100</v>
      </c>
      <c r="T120" s="33">
        <f t="shared" si="139"/>
        <v>0</v>
      </c>
      <c r="Y120" s="219">
        <f t="shared" si="138"/>
        <v>0</v>
      </c>
    </row>
    <row r="121" spans="1:25" customFormat="1" ht="25.5" x14ac:dyDescent="0.2">
      <c r="A121" s="37" t="s">
        <v>314</v>
      </c>
      <c r="B121" s="38" t="s">
        <v>295</v>
      </c>
      <c r="C121" s="37" t="s">
        <v>296</v>
      </c>
      <c r="D121" s="39" t="s">
        <v>29</v>
      </c>
      <c r="E121" s="78">
        <v>188</v>
      </c>
      <c r="F121" s="45">
        <v>0</v>
      </c>
      <c r="G121" s="45"/>
      <c r="H121" s="45">
        <f t="shared" ref="H121" si="159">F121+G121</f>
        <v>0</v>
      </c>
      <c r="I121" s="44">
        <f t="shared" ref="I121" si="160">ROUND(E121-H121,2)</f>
        <v>188</v>
      </c>
      <c r="J121" s="44">
        <v>62.55</v>
      </c>
      <c r="K121" s="40">
        <f t="shared" ref="K121:K123" si="161">TRUNC(J121*1.2211,2)</f>
        <v>76.37</v>
      </c>
      <c r="L121" s="40">
        <f>TRUNC(E121*K121,2)</f>
        <v>14357.56</v>
      </c>
      <c r="M121" s="82">
        <f t="shared" ref="M121" si="162">ROUND(F121*$K121,2)</f>
        <v>0</v>
      </c>
      <c r="N121" s="82">
        <f t="shared" ref="N121" si="163">ROUND(G121*$K121,2)</f>
        <v>0</v>
      </c>
      <c r="O121" s="82">
        <f t="shared" ref="O121" si="164">ROUND(H121*$K121,2)</f>
        <v>0</v>
      </c>
      <c r="P121" s="82">
        <f t="shared" ref="P121" si="165">ROUND(I121*$K121,2)</f>
        <v>14357.56</v>
      </c>
      <c r="Q121" s="82">
        <f t="shared" si="140"/>
        <v>0</v>
      </c>
      <c r="R121" s="82">
        <f t="shared" si="141"/>
        <v>0</v>
      </c>
      <c r="S121" s="36">
        <f t="shared" si="142"/>
        <v>100</v>
      </c>
      <c r="T121" s="33">
        <f t="shared" si="139"/>
        <v>0</v>
      </c>
      <c r="Y121" s="219">
        <f t="shared" si="138"/>
        <v>0</v>
      </c>
    </row>
    <row r="122" spans="1:25" customFormat="1" ht="25.5" x14ac:dyDescent="0.2">
      <c r="A122" s="37" t="s">
        <v>315</v>
      </c>
      <c r="B122" s="38" t="s">
        <v>192</v>
      </c>
      <c r="C122" s="37" t="s">
        <v>193</v>
      </c>
      <c r="D122" s="39" t="s">
        <v>14</v>
      </c>
      <c r="E122" s="78">
        <v>138</v>
      </c>
      <c r="F122" s="45">
        <v>0</v>
      </c>
      <c r="G122" s="45"/>
      <c r="H122" s="45">
        <f t="shared" ref="H122:H123" si="166">F122+G122</f>
        <v>0</v>
      </c>
      <c r="I122" s="44">
        <f t="shared" ref="I122:I123" si="167">ROUND(E122-H122,2)</f>
        <v>138</v>
      </c>
      <c r="J122" s="44">
        <v>9.73</v>
      </c>
      <c r="K122" s="40">
        <f t="shared" si="161"/>
        <v>11.88</v>
      </c>
      <c r="L122" s="40">
        <f>TRUNC(E122*K122,2)</f>
        <v>1639.44</v>
      </c>
      <c r="M122" s="82">
        <f t="shared" ref="M122" si="168">ROUND(F122*$K122,2)</f>
        <v>0</v>
      </c>
      <c r="N122" s="82">
        <f t="shared" ref="N122" si="169">ROUND(G122*$K122,2)</f>
        <v>0</v>
      </c>
      <c r="O122" s="82">
        <f t="shared" ref="O122" si="170">ROUND(H122*$K122,2)</f>
        <v>0</v>
      </c>
      <c r="P122" s="82">
        <f t="shared" ref="P122" si="171">ROUND(I122*$K122,2)</f>
        <v>1639.44</v>
      </c>
      <c r="Q122" s="82">
        <f t="shared" si="140"/>
        <v>0</v>
      </c>
      <c r="R122" s="82">
        <f t="shared" si="141"/>
        <v>0</v>
      </c>
      <c r="S122" s="36">
        <f t="shared" si="142"/>
        <v>100</v>
      </c>
      <c r="T122" s="33">
        <f t="shared" si="139"/>
        <v>0</v>
      </c>
      <c r="Y122" s="219">
        <f t="shared" si="138"/>
        <v>0</v>
      </c>
    </row>
    <row r="123" spans="1:25" customFormat="1" ht="25.5" x14ac:dyDescent="0.2">
      <c r="A123" s="37" t="s">
        <v>316</v>
      </c>
      <c r="B123" s="38" t="s">
        <v>317</v>
      </c>
      <c r="C123" s="37" t="s">
        <v>318</v>
      </c>
      <c r="D123" s="39" t="s">
        <v>14</v>
      </c>
      <c r="E123" s="78">
        <v>4.2</v>
      </c>
      <c r="F123" s="45">
        <v>0</v>
      </c>
      <c r="G123" s="45"/>
      <c r="H123" s="45">
        <f t="shared" si="166"/>
        <v>0</v>
      </c>
      <c r="I123" s="44">
        <f t="shared" si="167"/>
        <v>4.2</v>
      </c>
      <c r="J123" s="44">
        <v>22.92</v>
      </c>
      <c r="K123" s="40">
        <f t="shared" si="161"/>
        <v>27.98</v>
      </c>
      <c r="L123" s="40">
        <f>TRUNC(E123*K123,2)</f>
        <v>117.51</v>
      </c>
      <c r="M123" s="82">
        <f t="shared" ref="M123" si="172">ROUND(F123*$K123,2)</f>
        <v>0</v>
      </c>
      <c r="N123" s="82">
        <f t="shared" ref="N123" si="173">ROUND(G123*$K123,2)</f>
        <v>0</v>
      </c>
      <c r="O123" s="82">
        <f t="shared" ref="O123" si="174">ROUND(H123*$K123,2)</f>
        <v>0</v>
      </c>
      <c r="P123" s="82">
        <f>L123-O123</f>
        <v>117.51</v>
      </c>
      <c r="Q123" s="82">
        <f t="shared" si="140"/>
        <v>0</v>
      </c>
      <c r="R123" s="82">
        <f t="shared" si="141"/>
        <v>0</v>
      </c>
      <c r="S123" s="36">
        <f t="shared" si="142"/>
        <v>100</v>
      </c>
      <c r="T123" s="33">
        <f t="shared" si="139"/>
        <v>0</v>
      </c>
      <c r="Y123" s="219">
        <f t="shared" si="138"/>
        <v>0</v>
      </c>
    </row>
    <row r="124" spans="1:25" customFormat="1" ht="12.75" x14ac:dyDescent="0.2">
      <c r="A124" s="70" t="s">
        <v>319</v>
      </c>
      <c r="B124" s="71"/>
      <c r="C124" s="70" t="s">
        <v>320</v>
      </c>
      <c r="D124" s="72"/>
      <c r="E124" s="81" t="s">
        <v>445</v>
      </c>
      <c r="F124" s="73"/>
      <c r="G124" s="73"/>
      <c r="H124" s="73"/>
      <c r="I124" s="73"/>
      <c r="J124" s="74" t="s">
        <v>445</v>
      </c>
      <c r="K124" s="75"/>
      <c r="L124" s="85">
        <f>L125</f>
        <v>15125.35</v>
      </c>
      <c r="M124" s="85">
        <f t="shared" ref="M124:P124" si="175">M125</f>
        <v>0</v>
      </c>
      <c r="N124" s="85">
        <f t="shared" si="175"/>
        <v>0</v>
      </c>
      <c r="O124" s="85">
        <f t="shared" si="175"/>
        <v>0</v>
      </c>
      <c r="P124" s="85">
        <f t="shared" si="175"/>
        <v>15125.35</v>
      </c>
      <c r="Q124" s="85">
        <f t="shared" si="140"/>
        <v>0</v>
      </c>
      <c r="R124" s="85">
        <f t="shared" si="141"/>
        <v>0</v>
      </c>
      <c r="S124" s="77">
        <f t="shared" si="142"/>
        <v>100</v>
      </c>
      <c r="T124" s="33">
        <f t="shared" si="139"/>
        <v>0</v>
      </c>
      <c r="Y124" s="219">
        <f t="shared" si="138"/>
        <v>0</v>
      </c>
    </row>
    <row r="125" spans="1:25" customFormat="1" ht="25.5" x14ac:dyDescent="0.2">
      <c r="A125" s="37" t="s">
        <v>321</v>
      </c>
      <c r="B125" s="38" t="s">
        <v>322</v>
      </c>
      <c r="C125" s="37" t="s">
        <v>323</v>
      </c>
      <c r="D125" s="39" t="s">
        <v>14</v>
      </c>
      <c r="E125" s="78">
        <v>5.25</v>
      </c>
      <c r="F125" s="45">
        <v>0</v>
      </c>
      <c r="G125" s="45"/>
      <c r="H125" s="45">
        <f t="shared" ref="H125" si="176">F125+G125</f>
        <v>0</v>
      </c>
      <c r="I125" s="44">
        <f t="shared" ref="I125" si="177">ROUND(E125-H125,2)</f>
        <v>5.25</v>
      </c>
      <c r="J125" s="44">
        <v>2359.37</v>
      </c>
      <c r="K125" s="40">
        <f>TRUNC(J125*1.2211,2)</f>
        <v>2881.02</v>
      </c>
      <c r="L125" s="40">
        <f>TRUNC(E125*K125,2)</f>
        <v>15125.35</v>
      </c>
      <c r="M125" s="82">
        <f t="shared" ref="M125" si="178">ROUND(F125*$K125,2)</f>
        <v>0</v>
      </c>
      <c r="N125" s="82">
        <f t="shared" ref="N125" si="179">ROUND(G125*$K125,2)</f>
        <v>0</v>
      </c>
      <c r="O125" s="82">
        <f t="shared" ref="O125" si="180">ROUND(H125*$K125,2)</f>
        <v>0</v>
      </c>
      <c r="P125" s="82">
        <f>L125-O125</f>
        <v>15125.35</v>
      </c>
      <c r="Q125" s="82">
        <f t="shared" si="140"/>
        <v>0</v>
      </c>
      <c r="R125" s="82">
        <f t="shared" si="141"/>
        <v>0</v>
      </c>
      <c r="S125" s="36">
        <f t="shared" si="142"/>
        <v>100</v>
      </c>
      <c r="T125" s="33">
        <f t="shared" si="139"/>
        <v>0</v>
      </c>
      <c r="Y125" s="219">
        <f t="shared" si="138"/>
        <v>0</v>
      </c>
    </row>
    <row r="126" spans="1:25" customFormat="1" ht="12.75" x14ac:dyDescent="0.2">
      <c r="A126" s="55" t="s">
        <v>46</v>
      </c>
      <c r="B126" s="56"/>
      <c r="C126" s="55" t="s">
        <v>324</v>
      </c>
      <c r="D126" s="57"/>
      <c r="E126" s="80" t="s">
        <v>445</v>
      </c>
      <c r="F126" s="62"/>
      <c r="G126" s="62"/>
      <c r="H126" s="62"/>
      <c r="I126" s="62"/>
      <c r="J126" s="63" t="s">
        <v>445</v>
      </c>
      <c r="K126" s="59"/>
      <c r="L126" s="83">
        <f>L127+L129+L136+L146+L156</f>
        <v>4362162.92</v>
      </c>
      <c r="M126" s="83">
        <f t="shared" ref="M126:P126" si="181">M127+M129+M136+M146+M156</f>
        <v>2417630.0099999998</v>
      </c>
      <c r="N126" s="83" t="e">
        <f t="shared" si="181"/>
        <v>#REF!</v>
      </c>
      <c r="O126" s="83" t="e">
        <f t="shared" si="181"/>
        <v>#REF!</v>
      </c>
      <c r="P126" s="83" t="e">
        <f t="shared" si="181"/>
        <v>#REF!</v>
      </c>
      <c r="Q126" s="83" t="e">
        <f t="shared" si="140"/>
        <v>#REF!</v>
      </c>
      <c r="R126" s="83" t="e">
        <f t="shared" si="141"/>
        <v>#REF!</v>
      </c>
      <c r="S126" s="61" t="e">
        <f t="shared" si="142"/>
        <v>#REF!</v>
      </c>
      <c r="T126" s="33" t="e">
        <f t="shared" si="139"/>
        <v>#REF!</v>
      </c>
      <c r="Y126" s="219" t="e">
        <f t="shared" si="138"/>
        <v>#REF!</v>
      </c>
    </row>
    <row r="127" spans="1:25" customFormat="1" ht="12.75" x14ac:dyDescent="0.2">
      <c r="A127" s="48" t="s">
        <v>47</v>
      </c>
      <c r="B127" s="49"/>
      <c r="C127" s="48" t="s">
        <v>325</v>
      </c>
      <c r="D127" s="50"/>
      <c r="E127" s="79" t="s">
        <v>445</v>
      </c>
      <c r="F127" s="66"/>
      <c r="G127" s="66"/>
      <c r="H127" s="66"/>
      <c r="I127" s="66"/>
      <c r="J127" s="67" t="s">
        <v>445</v>
      </c>
      <c r="K127" s="52"/>
      <c r="L127" s="84">
        <f>L128</f>
        <v>50921.79</v>
      </c>
      <c r="M127" s="84">
        <f t="shared" ref="M127:P127" si="182">M128</f>
        <v>30815.4</v>
      </c>
      <c r="N127" s="84" t="e">
        <f t="shared" si="182"/>
        <v>#REF!</v>
      </c>
      <c r="O127" s="84" t="e">
        <f t="shared" si="182"/>
        <v>#REF!</v>
      </c>
      <c r="P127" s="84" t="e">
        <f t="shared" si="182"/>
        <v>#REF!</v>
      </c>
      <c r="Q127" s="84" t="e">
        <f t="shared" si="140"/>
        <v>#REF!</v>
      </c>
      <c r="R127" s="84" t="e">
        <f t="shared" si="141"/>
        <v>#REF!</v>
      </c>
      <c r="S127" s="54" t="e">
        <f t="shared" si="142"/>
        <v>#REF!</v>
      </c>
      <c r="T127" s="33" t="e">
        <f t="shared" si="139"/>
        <v>#REF!</v>
      </c>
      <c r="Y127" s="219" t="e">
        <f t="shared" si="138"/>
        <v>#REF!</v>
      </c>
    </row>
    <row r="128" spans="1:25" customFormat="1" ht="12.75" x14ac:dyDescent="0.2">
      <c r="A128" s="37" t="s">
        <v>48</v>
      </c>
      <c r="B128" s="35"/>
      <c r="C128" s="37" t="s">
        <v>326</v>
      </c>
      <c r="D128" s="39" t="s">
        <v>29</v>
      </c>
      <c r="E128" s="78">
        <v>73799.7</v>
      </c>
      <c r="F128" s="45">
        <v>44660</v>
      </c>
      <c r="G128" s="45" t="e">
        <f>#REF!</f>
        <v>#REF!</v>
      </c>
      <c r="H128" s="45" t="e">
        <f t="shared" ref="H128" si="183">F128+G128</f>
        <v>#REF!</v>
      </c>
      <c r="I128" s="44" t="e">
        <f t="shared" ref="I128" si="184">ROUND(E128-H128,2)</f>
        <v>#REF!</v>
      </c>
      <c r="J128" s="44">
        <v>0.56999999999999995</v>
      </c>
      <c r="K128" s="40">
        <f>TRUNC(J128*1.2211,2)</f>
        <v>0.69</v>
      </c>
      <c r="L128" s="40">
        <f>TRUNC(E128*K128,2)</f>
        <v>50921.79</v>
      </c>
      <c r="M128" s="82">
        <f t="shared" ref="M128" si="185">ROUND(F128*$K128,2)</f>
        <v>30815.4</v>
      </c>
      <c r="N128" s="82" t="e">
        <f t="shared" ref="N128" si="186">ROUND(G128*$K128,2)</f>
        <v>#REF!</v>
      </c>
      <c r="O128" s="82" t="e">
        <f t="shared" ref="O128" si="187">ROUND(H128*$K128,2)</f>
        <v>#REF!</v>
      </c>
      <c r="P128" s="82" t="e">
        <f t="shared" ref="P128" si="188">ROUND(I128*$K128,2)</f>
        <v>#REF!</v>
      </c>
      <c r="Q128" s="82" t="e">
        <f t="shared" si="140"/>
        <v>#REF!</v>
      </c>
      <c r="R128" s="82" t="e">
        <f t="shared" si="141"/>
        <v>#REF!</v>
      </c>
      <c r="S128" s="36" t="e">
        <f t="shared" si="142"/>
        <v>#REF!</v>
      </c>
      <c r="T128" s="33" t="e">
        <f t="shared" si="139"/>
        <v>#REF!</v>
      </c>
      <c r="Y128" s="219" t="e">
        <f t="shared" si="138"/>
        <v>#REF!</v>
      </c>
    </row>
    <row r="129" spans="1:25" customFormat="1" ht="12.75" x14ac:dyDescent="0.2">
      <c r="A129" s="48" t="s">
        <v>49</v>
      </c>
      <c r="B129" s="49"/>
      <c r="C129" s="48" t="s">
        <v>327</v>
      </c>
      <c r="D129" s="50"/>
      <c r="E129" s="79" t="s">
        <v>445</v>
      </c>
      <c r="F129" s="66"/>
      <c r="G129" s="66"/>
      <c r="H129" s="66"/>
      <c r="I129" s="66"/>
      <c r="J129" s="67" t="s">
        <v>445</v>
      </c>
      <c r="K129" s="52"/>
      <c r="L129" s="84">
        <f>L130+L134</f>
        <v>1103096.31</v>
      </c>
      <c r="M129" s="84">
        <f t="shared" ref="M129:P129" si="189">M130+M134</f>
        <v>973146.46</v>
      </c>
      <c r="N129" s="84" t="e">
        <f t="shared" si="189"/>
        <v>#REF!</v>
      </c>
      <c r="O129" s="84" t="e">
        <f t="shared" si="189"/>
        <v>#REF!</v>
      </c>
      <c r="P129" s="84" t="e">
        <f t="shared" si="189"/>
        <v>#REF!</v>
      </c>
      <c r="Q129" s="84" t="e">
        <f t="shared" si="140"/>
        <v>#REF!</v>
      </c>
      <c r="R129" s="84" t="e">
        <f t="shared" si="141"/>
        <v>#REF!</v>
      </c>
      <c r="S129" s="54" t="e">
        <f t="shared" si="142"/>
        <v>#REF!</v>
      </c>
      <c r="T129" s="33" t="e">
        <f t="shared" si="139"/>
        <v>#REF!</v>
      </c>
      <c r="Y129" s="219" t="e">
        <f t="shared" si="138"/>
        <v>#REF!</v>
      </c>
    </row>
    <row r="130" spans="1:25" customFormat="1" ht="12.75" x14ac:dyDescent="0.2">
      <c r="A130" s="70" t="s">
        <v>50</v>
      </c>
      <c r="B130" s="71"/>
      <c r="C130" s="70" t="s">
        <v>328</v>
      </c>
      <c r="D130" s="72"/>
      <c r="E130" s="81" t="s">
        <v>445</v>
      </c>
      <c r="F130" s="73"/>
      <c r="G130" s="73"/>
      <c r="H130" s="73"/>
      <c r="I130" s="73"/>
      <c r="J130" s="74" t="s">
        <v>445</v>
      </c>
      <c r="K130" s="75"/>
      <c r="L130" s="85">
        <f>SUM(L131:L133)</f>
        <v>745803.96</v>
      </c>
      <c r="M130" s="85">
        <f t="shared" ref="M130:P130" si="190">SUM(M131:M133)</f>
        <v>721403.95</v>
      </c>
      <c r="N130" s="85">
        <f t="shared" si="190"/>
        <v>24400.03</v>
      </c>
      <c r="O130" s="85">
        <f t="shared" si="190"/>
        <v>745803.98</v>
      </c>
      <c r="P130" s="85">
        <f t="shared" si="190"/>
        <v>-1.9999999989522621E-2</v>
      </c>
      <c r="Q130" s="85">
        <f t="shared" si="140"/>
        <v>3.2716412500679128</v>
      </c>
      <c r="R130" s="85">
        <f t="shared" si="141"/>
        <v>100.00000268166987</v>
      </c>
      <c r="S130" s="77">
        <f t="shared" si="142"/>
        <v>-2.6816698572534559E-6</v>
      </c>
      <c r="T130" s="33">
        <f t="shared" si="139"/>
        <v>745803.98</v>
      </c>
      <c r="Y130" s="219">
        <f t="shared" si="138"/>
        <v>1.0000000268166986</v>
      </c>
    </row>
    <row r="131" spans="1:25" customFormat="1" ht="25.5" x14ac:dyDescent="0.2">
      <c r="A131" s="37" t="s">
        <v>329</v>
      </c>
      <c r="B131" s="38" t="s">
        <v>117</v>
      </c>
      <c r="C131" s="37" t="s">
        <v>118</v>
      </c>
      <c r="D131" s="39" t="s">
        <v>14</v>
      </c>
      <c r="E131" s="78">
        <v>32506.82</v>
      </c>
      <c r="F131" s="45">
        <v>30681.570000000025</v>
      </c>
      <c r="G131" s="45">
        <v>1825.25</v>
      </c>
      <c r="H131" s="45">
        <f t="shared" ref="H131" si="191">F131+G131</f>
        <v>32506.820000000025</v>
      </c>
      <c r="I131" s="44">
        <f t="shared" ref="I131" si="192">ROUND(E131-H131,2)</f>
        <v>0</v>
      </c>
      <c r="J131" s="44">
        <v>6.65</v>
      </c>
      <c r="K131" s="40">
        <f t="shared" ref="K131:K133" si="193">TRUNC(J131*1.2211,2)</f>
        <v>8.1199999999999992</v>
      </c>
      <c r="L131" s="40">
        <f>TRUNC(E131*K131,2)</f>
        <v>263955.37</v>
      </c>
      <c r="M131" s="82">
        <f t="shared" ref="M131" si="194">ROUND(F131*$K131,2)</f>
        <v>249134.35</v>
      </c>
      <c r="N131" s="82">
        <f t="shared" ref="N131" si="195">ROUND(G131*$K131,2)</f>
        <v>14821.03</v>
      </c>
      <c r="O131" s="82">
        <f t="shared" ref="O131" si="196">ROUND(H131*$K131,2)</f>
        <v>263955.38</v>
      </c>
      <c r="P131" s="82">
        <f>L131-O131</f>
        <v>-1.0000000009313226E-2</v>
      </c>
      <c r="Q131" s="82">
        <f t="shared" si="140"/>
        <v>5.6149757438160854</v>
      </c>
      <c r="R131" s="82">
        <f t="shared" si="141"/>
        <v>100.00000378851925</v>
      </c>
      <c r="S131" s="36">
        <f t="shared" si="142"/>
        <v>-3.7885192520664482E-6</v>
      </c>
      <c r="T131" s="33">
        <f t="shared" si="139"/>
        <v>263955.38</v>
      </c>
      <c r="Y131" s="219">
        <f t="shared" si="138"/>
        <v>1.0000000378851925</v>
      </c>
    </row>
    <row r="132" spans="1:25" customFormat="1" ht="25.5" x14ac:dyDescent="0.2">
      <c r="A132" s="37" t="s">
        <v>330</v>
      </c>
      <c r="B132" s="35">
        <v>5914389</v>
      </c>
      <c r="C132" s="37" t="s">
        <v>331</v>
      </c>
      <c r="D132" s="39" t="s">
        <v>120</v>
      </c>
      <c r="E132" s="78">
        <v>153594.72</v>
      </c>
      <c r="F132" s="45">
        <v>143820.23300000012</v>
      </c>
      <c r="G132" s="45">
        <v>9774.49</v>
      </c>
      <c r="H132" s="45">
        <f t="shared" ref="H132:H133" si="197">F132+G132</f>
        <v>153594.72300000011</v>
      </c>
      <c r="I132" s="44">
        <f t="shared" ref="I132:I133" si="198">ROUND(E132-H132,2)</f>
        <v>0</v>
      </c>
      <c r="J132" s="44">
        <v>0.81</v>
      </c>
      <c r="K132" s="40">
        <f t="shared" si="193"/>
        <v>0.98</v>
      </c>
      <c r="L132" s="40">
        <f>TRUNC(E132*K132,2)</f>
        <v>150522.82</v>
      </c>
      <c r="M132" s="82">
        <f t="shared" ref="M132:M133" si="199">ROUND(F132*$K132,2)</f>
        <v>140943.82999999999</v>
      </c>
      <c r="N132" s="82">
        <f t="shared" ref="N132:N133" si="200">ROUND(G132*$K132,2)</f>
        <v>9579</v>
      </c>
      <c r="O132" s="82">
        <f t="shared" ref="O132:O133" si="201">ROUND(H132*$K132,2)</f>
        <v>150522.82999999999</v>
      </c>
      <c r="P132" s="82">
        <f>L132-O132</f>
        <v>-9.9999999802093953E-3</v>
      </c>
      <c r="Q132" s="82">
        <f t="shared" si="140"/>
        <v>6.3638191205825132</v>
      </c>
      <c r="R132" s="82">
        <f t="shared" si="141"/>
        <v>100.00000664351091</v>
      </c>
      <c r="S132" s="36">
        <f t="shared" si="142"/>
        <v>-6.6435109176199304E-6</v>
      </c>
      <c r="T132" s="33">
        <f t="shared" si="139"/>
        <v>150522.82999999999</v>
      </c>
      <c r="Y132" s="219">
        <f t="shared" si="138"/>
        <v>1.0000000664351092</v>
      </c>
    </row>
    <row r="133" spans="1:25" customFormat="1" ht="25.5" x14ac:dyDescent="0.2">
      <c r="A133" s="37" t="s">
        <v>332</v>
      </c>
      <c r="B133" s="35">
        <v>5914359</v>
      </c>
      <c r="C133" s="37" t="s">
        <v>119</v>
      </c>
      <c r="D133" s="39" t="s">
        <v>120</v>
      </c>
      <c r="E133" s="78">
        <v>219421.04</v>
      </c>
      <c r="F133" s="45">
        <v>219421.04200000002</v>
      </c>
      <c r="G133" s="45"/>
      <c r="H133" s="45">
        <f t="shared" si="197"/>
        <v>219421.04200000002</v>
      </c>
      <c r="I133" s="44">
        <f t="shared" si="198"/>
        <v>0</v>
      </c>
      <c r="J133" s="44">
        <v>1.24</v>
      </c>
      <c r="K133" s="40">
        <f t="shared" si="193"/>
        <v>1.51</v>
      </c>
      <c r="L133" s="40">
        <f>TRUNC(E133*K133,2)</f>
        <v>331325.77</v>
      </c>
      <c r="M133" s="82">
        <f t="shared" si="199"/>
        <v>331325.77</v>
      </c>
      <c r="N133" s="82">
        <f t="shared" si="200"/>
        <v>0</v>
      </c>
      <c r="O133" s="82">
        <f t="shared" si="201"/>
        <v>331325.77</v>
      </c>
      <c r="P133" s="82">
        <f t="shared" ref="P133" si="202">ROUND(I133*$K133,2)</f>
        <v>0</v>
      </c>
      <c r="Q133" s="82">
        <f t="shared" si="140"/>
        <v>0</v>
      </c>
      <c r="R133" s="82">
        <f t="shared" si="141"/>
        <v>100</v>
      </c>
      <c r="S133" s="36">
        <f t="shared" si="142"/>
        <v>0</v>
      </c>
      <c r="T133" s="33">
        <f t="shared" si="139"/>
        <v>331325.77</v>
      </c>
      <c r="Y133" s="219">
        <f t="shared" si="138"/>
        <v>1</v>
      </c>
    </row>
    <row r="134" spans="1:25" customFormat="1" ht="12.75" x14ac:dyDescent="0.2">
      <c r="A134" s="70" t="s">
        <v>51</v>
      </c>
      <c r="B134" s="71"/>
      <c r="C134" s="70" t="s">
        <v>333</v>
      </c>
      <c r="D134" s="72"/>
      <c r="E134" s="81" t="s">
        <v>445</v>
      </c>
      <c r="F134" s="73"/>
      <c r="G134" s="73"/>
      <c r="H134" s="73"/>
      <c r="I134" s="73"/>
      <c r="J134" s="74" t="s">
        <v>445</v>
      </c>
      <c r="K134" s="75"/>
      <c r="L134" s="85">
        <f>SUM(L135)</f>
        <v>357292.35</v>
      </c>
      <c r="M134" s="85">
        <f t="shared" ref="M134:P134" si="203">SUM(M135)</f>
        <v>251742.51</v>
      </c>
      <c r="N134" s="85" t="e">
        <f t="shared" si="203"/>
        <v>#REF!</v>
      </c>
      <c r="O134" s="85" t="e">
        <f t="shared" si="203"/>
        <v>#REF!</v>
      </c>
      <c r="P134" s="85" t="e">
        <f t="shared" si="203"/>
        <v>#REF!</v>
      </c>
      <c r="Q134" s="85" t="e">
        <f t="shared" si="140"/>
        <v>#REF!</v>
      </c>
      <c r="R134" s="85" t="e">
        <f t="shared" si="141"/>
        <v>#REF!</v>
      </c>
      <c r="S134" s="77" t="e">
        <f t="shared" si="142"/>
        <v>#REF!</v>
      </c>
      <c r="T134" s="33" t="e">
        <f t="shared" si="139"/>
        <v>#REF!</v>
      </c>
      <c r="Y134" s="219" t="e">
        <f t="shared" si="138"/>
        <v>#REF!</v>
      </c>
    </row>
    <row r="135" spans="1:25" customFormat="1" ht="12.75" x14ac:dyDescent="0.2">
      <c r="A135" s="37" t="s">
        <v>334</v>
      </c>
      <c r="B135" s="38" t="s">
        <v>335</v>
      </c>
      <c r="C135" s="37" t="s">
        <v>336</v>
      </c>
      <c r="D135" s="39" t="s">
        <v>14</v>
      </c>
      <c r="E135" s="78">
        <v>22613.439999999999</v>
      </c>
      <c r="F135" s="45">
        <v>15933.070000000023</v>
      </c>
      <c r="G135" s="45" t="e">
        <f>#REF!</f>
        <v>#REF!</v>
      </c>
      <c r="H135" s="45" t="e">
        <f t="shared" ref="H135" si="204">F135+G135</f>
        <v>#REF!</v>
      </c>
      <c r="I135" s="44" t="e">
        <f t="shared" ref="I135" si="205">ROUND(E135-H135,2)</f>
        <v>#REF!</v>
      </c>
      <c r="J135" s="44">
        <v>12.94</v>
      </c>
      <c r="K135" s="40">
        <f>TRUNC(J135*1.2211,2)</f>
        <v>15.8</v>
      </c>
      <c r="L135" s="40">
        <f>TRUNC(E135*K135,2)</f>
        <v>357292.35</v>
      </c>
      <c r="M135" s="82">
        <f t="shared" ref="M135" si="206">ROUND(F135*$K135,2)</f>
        <v>251742.51</v>
      </c>
      <c r="N135" s="82" t="e">
        <f t="shared" ref="N135" si="207">ROUND(G135*$K135,2)</f>
        <v>#REF!</v>
      </c>
      <c r="O135" s="82" t="e">
        <f t="shared" ref="O135" si="208">ROUND(H135*$K135,2)</f>
        <v>#REF!</v>
      </c>
      <c r="P135" s="82" t="e">
        <f t="shared" ref="P135" si="209">ROUND(I135*$K135,2)</f>
        <v>#REF!</v>
      </c>
      <c r="Q135" s="82" t="e">
        <f t="shared" si="140"/>
        <v>#REF!</v>
      </c>
      <c r="R135" s="82" t="e">
        <f t="shared" si="141"/>
        <v>#REF!</v>
      </c>
      <c r="S135" s="36" t="e">
        <f t="shared" si="142"/>
        <v>#REF!</v>
      </c>
      <c r="T135" s="33" t="e">
        <f t="shared" si="139"/>
        <v>#REF!</v>
      </c>
      <c r="Y135" s="219" t="e">
        <f t="shared" si="138"/>
        <v>#REF!</v>
      </c>
    </row>
    <row r="136" spans="1:25" customFormat="1" ht="12.75" x14ac:dyDescent="0.2">
      <c r="A136" s="48" t="s">
        <v>52</v>
      </c>
      <c r="B136" s="49"/>
      <c r="C136" s="48" t="s">
        <v>337</v>
      </c>
      <c r="D136" s="50"/>
      <c r="E136" s="79" t="s">
        <v>445</v>
      </c>
      <c r="F136" s="66"/>
      <c r="G136" s="66"/>
      <c r="H136" s="66"/>
      <c r="I136" s="66"/>
      <c r="J136" s="67" t="s">
        <v>445</v>
      </c>
      <c r="K136" s="52"/>
      <c r="L136" s="84">
        <f>L137+L141+L144</f>
        <v>1040170.4700000001</v>
      </c>
      <c r="M136" s="84">
        <f t="shared" ref="M136:P136" si="210">M137+M141+M144</f>
        <v>882087.56</v>
      </c>
      <c r="N136" s="84" t="e">
        <f t="shared" si="210"/>
        <v>#REF!</v>
      </c>
      <c r="O136" s="84" t="e">
        <f t="shared" si="210"/>
        <v>#REF!</v>
      </c>
      <c r="P136" s="84" t="e">
        <f t="shared" si="210"/>
        <v>#REF!</v>
      </c>
      <c r="Q136" s="84" t="e">
        <f t="shared" si="140"/>
        <v>#REF!</v>
      </c>
      <c r="R136" s="84" t="e">
        <f t="shared" si="141"/>
        <v>#REF!</v>
      </c>
      <c r="S136" s="54" t="e">
        <f t="shared" si="142"/>
        <v>#REF!</v>
      </c>
      <c r="T136" s="33" t="e">
        <f t="shared" si="139"/>
        <v>#REF!</v>
      </c>
      <c r="Y136" s="219" t="e">
        <f t="shared" si="138"/>
        <v>#REF!</v>
      </c>
    </row>
    <row r="137" spans="1:25" customFormat="1" ht="12.75" x14ac:dyDescent="0.2">
      <c r="A137" s="70" t="s">
        <v>53</v>
      </c>
      <c r="B137" s="71"/>
      <c r="C137" s="70" t="s">
        <v>338</v>
      </c>
      <c r="D137" s="72"/>
      <c r="E137" s="81" t="s">
        <v>445</v>
      </c>
      <c r="F137" s="73"/>
      <c r="G137" s="73"/>
      <c r="H137" s="73"/>
      <c r="I137" s="73"/>
      <c r="J137" s="74" t="s">
        <v>445</v>
      </c>
      <c r="K137" s="75"/>
      <c r="L137" s="85">
        <f>SUM(L138:L140)</f>
        <v>239321.71000000002</v>
      </c>
      <c r="M137" s="85">
        <f t="shared" ref="M137:P137" si="211">SUM(M138:M140)</f>
        <v>141771.01999999999</v>
      </c>
      <c r="N137" s="85" t="e">
        <f t="shared" si="211"/>
        <v>#REF!</v>
      </c>
      <c r="O137" s="85" t="e">
        <f t="shared" si="211"/>
        <v>#REF!</v>
      </c>
      <c r="P137" s="85" t="e">
        <f t="shared" si="211"/>
        <v>#REF!</v>
      </c>
      <c r="Q137" s="85" t="e">
        <f t="shared" si="140"/>
        <v>#REF!</v>
      </c>
      <c r="R137" s="85" t="e">
        <f t="shared" si="141"/>
        <v>#REF!</v>
      </c>
      <c r="S137" s="77" t="e">
        <f t="shared" si="142"/>
        <v>#REF!</v>
      </c>
      <c r="T137" s="33" t="e">
        <f t="shared" si="139"/>
        <v>#REF!</v>
      </c>
      <c r="Y137" s="219" t="e">
        <f t="shared" si="138"/>
        <v>#REF!</v>
      </c>
    </row>
    <row r="138" spans="1:25" customFormat="1" ht="25.5" x14ac:dyDescent="0.2">
      <c r="A138" s="37" t="s">
        <v>339</v>
      </c>
      <c r="B138" s="38" t="s">
        <v>340</v>
      </c>
      <c r="C138" s="37" t="s">
        <v>341</v>
      </c>
      <c r="D138" s="39" t="s">
        <v>14</v>
      </c>
      <c r="E138" s="78">
        <v>10649.3</v>
      </c>
      <c r="F138" s="45">
        <v>2625.48</v>
      </c>
      <c r="G138" s="45" t="e">
        <f>#REF!+3803.98</f>
        <v>#REF!</v>
      </c>
      <c r="H138" s="45" t="e">
        <f t="shared" ref="H138" si="212">F138+G138</f>
        <v>#REF!</v>
      </c>
      <c r="I138" s="44" t="e">
        <f t="shared" ref="I138" si="213">ROUND(E138-H138,2)</f>
        <v>#REF!</v>
      </c>
      <c r="J138" s="44">
        <v>6.27</v>
      </c>
      <c r="K138" s="40">
        <f t="shared" ref="K138:K140" si="214">TRUNC(J138*1.2211,2)</f>
        <v>7.65</v>
      </c>
      <c r="L138" s="40">
        <f>TRUNC(E138*K138,2)</f>
        <v>81467.14</v>
      </c>
      <c r="M138" s="82">
        <f t="shared" ref="M138" si="215">ROUND(F138*$K138,2)</f>
        <v>20084.919999999998</v>
      </c>
      <c r="N138" s="82" t="e">
        <f t="shared" ref="N138" si="216">ROUND(G138*$K138,2)</f>
        <v>#REF!</v>
      </c>
      <c r="O138" s="82" t="e">
        <f t="shared" ref="O138" si="217">ROUND(H138*$K138,2)</f>
        <v>#REF!</v>
      </c>
      <c r="P138" s="82" t="e">
        <f>L138-O138</f>
        <v>#REF!</v>
      </c>
      <c r="Q138" s="82" t="e">
        <f t="shared" si="140"/>
        <v>#REF!</v>
      </c>
      <c r="R138" s="82" t="e">
        <f t="shared" si="141"/>
        <v>#REF!</v>
      </c>
      <c r="S138" s="36" t="e">
        <f t="shared" si="142"/>
        <v>#REF!</v>
      </c>
      <c r="T138" s="33" t="e">
        <f t="shared" si="139"/>
        <v>#REF!</v>
      </c>
      <c r="Y138" s="219" t="e">
        <f t="shared" si="138"/>
        <v>#REF!</v>
      </c>
    </row>
    <row r="139" spans="1:25" customFormat="1" ht="25.5" x14ac:dyDescent="0.2">
      <c r="A139" s="37" t="s">
        <v>342</v>
      </c>
      <c r="B139" s="35">
        <v>5914389</v>
      </c>
      <c r="C139" s="37" t="s">
        <v>331</v>
      </c>
      <c r="D139" s="39" t="s">
        <v>120</v>
      </c>
      <c r="E139" s="78">
        <v>50317.94</v>
      </c>
      <c r="F139" s="45">
        <v>21857.120999999999</v>
      </c>
      <c r="G139" s="45" t="e">
        <f>#REF!*5.55*1.5</f>
        <v>#REF!</v>
      </c>
      <c r="H139" s="45" t="e">
        <f t="shared" ref="H139:H140" si="218">F139+G139</f>
        <v>#REF!</v>
      </c>
      <c r="I139" s="44" t="e">
        <f t="shared" ref="I139:I140" si="219">ROUND(E139-H139,2)</f>
        <v>#REF!</v>
      </c>
      <c r="J139" s="44">
        <v>0.81</v>
      </c>
      <c r="K139" s="40">
        <f t="shared" si="214"/>
        <v>0.98</v>
      </c>
      <c r="L139" s="40">
        <f>TRUNC(E139*K139,2)</f>
        <v>49311.58</v>
      </c>
      <c r="M139" s="82">
        <f t="shared" ref="M139:M140" si="220">ROUND(F139*$K139,2)</f>
        <v>21419.98</v>
      </c>
      <c r="N139" s="82" t="e">
        <f t="shared" ref="N139:N140" si="221">ROUND(G139*$K139,2)</f>
        <v>#REF!</v>
      </c>
      <c r="O139" s="82" t="e">
        <f t="shared" ref="O139:O140" si="222">ROUND(H139*$K139,2)</f>
        <v>#REF!</v>
      </c>
      <c r="P139" s="82" t="e">
        <f t="shared" ref="P139" si="223">ROUND(I139*$K139,2)</f>
        <v>#REF!</v>
      </c>
      <c r="Q139" s="82" t="e">
        <f t="shared" si="140"/>
        <v>#REF!</v>
      </c>
      <c r="R139" s="82" t="e">
        <f t="shared" si="141"/>
        <v>#REF!</v>
      </c>
      <c r="S139" s="36" t="e">
        <f t="shared" si="142"/>
        <v>#REF!</v>
      </c>
      <c r="T139" s="33" t="e">
        <f t="shared" si="139"/>
        <v>#REF!</v>
      </c>
      <c r="Y139" s="219" t="e">
        <f t="shared" si="138"/>
        <v>#REF!</v>
      </c>
    </row>
    <row r="140" spans="1:25" customFormat="1" ht="25.5" x14ac:dyDescent="0.2">
      <c r="A140" s="37" t="s">
        <v>343</v>
      </c>
      <c r="B140" s="35">
        <v>5914359</v>
      </c>
      <c r="C140" s="37" t="s">
        <v>119</v>
      </c>
      <c r="D140" s="39" t="s">
        <v>120</v>
      </c>
      <c r="E140" s="78">
        <v>71882.78</v>
      </c>
      <c r="F140" s="45">
        <v>66401.407000000007</v>
      </c>
      <c r="G140" s="45">
        <v>5481.37</v>
      </c>
      <c r="H140" s="45">
        <f t="shared" si="218"/>
        <v>71882.777000000002</v>
      </c>
      <c r="I140" s="44">
        <f t="shared" si="219"/>
        <v>0</v>
      </c>
      <c r="J140" s="44">
        <v>1.24</v>
      </c>
      <c r="K140" s="40">
        <f t="shared" si="214"/>
        <v>1.51</v>
      </c>
      <c r="L140" s="40">
        <f>TRUNC(E140*K140,2)</f>
        <v>108542.99</v>
      </c>
      <c r="M140" s="82">
        <f t="shared" si="220"/>
        <v>100266.12</v>
      </c>
      <c r="N140" s="82">
        <f t="shared" si="221"/>
        <v>8276.8700000000008</v>
      </c>
      <c r="O140" s="82">
        <f t="shared" si="222"/>
        <v>108542.99</v>
      </c>
      <c r="P140" s="82">
        <f>L140-O140</f>
        <v>0</v>
      </c>
      <c r="Q140" s="82">
        <f t="shared" si="140"/>
        <v>7.6254302557908158</v>
      </c>
      <c r="R140" s="82">
        <f t="shared" si="141"/>
        <v>100</v>
      </c>
      <c r="S140" s="36">
        <f t="shared" si="142"/>
        <v>0</v>
      </c>
      <c r="T140" s="33">
        <f t="shared" si="139"/>
        <v>108542.99</v>
      </c>
      <c r="Y140" s="219">
        <f t="shared" si="138"/>
        <v>1</v>
      </c>
    </row>
    <row r="141" spans="1:25" customFormat="1" ht="12.75" x14ac:dyDescent="0.2">
      <c r="A141" s="70" t="s">
        <v>54</v>
      </c>
      <c r="B141" s="71"/>
      <c r="C141" s="70" t="s">
        <v>344</v>
      </c>
      <c r="D141" s="72"/>
      <c r="E141" s="81" t="s">
        <v>445</v>
      </c>
      <c r="F141" s="73"/>
      <c r="G141" s="73"/>
      <c r="H141" s="73"/>
      <c r="I141" s="73"/>
      <c r="J141" s="74" t="s">
        <v>445</v>
      </c>
      <c r="K141" s="75"/>
      <c r="L141" s="85">
        <f>SUM(L142:L143)</f>
        <v>692107.63</v>
      </c>
      <c r="M141" s="85">
        <f t="shared" ref="M141:P141" si="224">SUM(M142:M143)</f>
        <v>678970.53</v>
      </c>
      <c r="N141" s="85">
        <f t="shared" si="224"/>
        <v>13136.91</v>
      </c>
      <c r="O141" s="85">
        <f t="shared" si="224"/>
        <v>692107.44</v>
      </c>
      <c r="P141" s="85">
        <f t="shared" si="224"/>
        <v>0.19000000000232831</v>
      </c>
      <c r="Q141" s="85">
        <f t="shared" si="140"/>
        <v>1.8981021781250988</v>
      </c>
      <c r="R141" s="85">
        <f t="shared" si="141"/>
        <v>99.999972547622377</v>
      </c>
      <c r="S141" s="77">
        <f t="shared" si="142"/>
        <v>2.745237760235764E-5</v>
      </c>
      <c r="T141" s="33">
        <f t="shared" si="139"/>
        <v>692107.44</v>
      </c>
      <c r="Y141" s="219">
        <f t="shared" ref="Y141:Y204" si="225">O141/L141</f>
        <v>0.99999972547622384</v>
      </c>
    </row>
    <row r="142" spans="1:25" customFormat="1" ht="25.5" x14ac:dyDescent="0.2">
      <c r="A142" s="37" t="s">
        <v>345</v>
      </c>
      <c r="B142" s="38" t="s">
        <v>346</v>
      </c>
      <c r="C142" s="37" t="s">
        <v>347</v>
      </c>
      <c r="D142" s="39" t="s">
        <v>14</v>
      </c>
      <c r="E142" s="78">
        <v>7572.8329999999996</v>
      </c>
      <c r="F142" s="45">
        <v>7429.09</v>
      </c>
      <c r="G142" s="44">
        <v>143.74</v>
      </c>
      <c r="H142" s="45">
        <f t="shared" ref="H142" si="226">F142+G142</f>
        <v>7572.83</v>
      </c>
      <c r="I142" s="44">
        <f t="shared" ref="I142" si="227">ROUND(E142-H142,2)</f>
        <v>0</v>
      </c>
      <c r="J142" s="44">
        <v>54.32</v>
      </c>
      <c r="K142" s="40">
        <f t="shared" ref="K142:K143" si="228">TRUNC(J142*1.2211,2)</f>
        <v>66.33</v>
      </c>
      <c r="L142" s="40">
        <f>TRUNC(E142*K142,2)</f>
        <v>502306.01</v>
      </c>
      <c r="M142" s="82">
        <f t="shared" ref="M142" si="229">ROUND(F142*$K142,2)</f>
        <v>492771.54</v>
      </c>
      <c r="N142" s="82">
        <f t="shared" ref="N142" si="230">ROUND(G142*$K142,2)</f>
        <v>9534.27</v>
      </c>
      <c r="O142" s="82">
        <f t="shared" ref="O142" si="231">ROUND(H142*$K142,2)</f>
        <v>502305.81</v>
      </c>
      <c r="P142" s="82">
        <f>L142-O142</f>
        <v>0.20000000001164153</v>
      </c>
      <c r="Q142" s="82">
        <f t="shared" si="140"/>
        <v>1.8980999251830573</v>
      </c>
      <c r="R142" s="82">
        <f t="shared" si="141"/>
        <v>99.999960183633874</v>
      </c>
      <c r="S142" s="36">
        <f t="shared" si="142"/>
        <v>3.9816366125430496E-5</v>
      </c>
      <c r="T142" s="33">
        <f t="shared" ref="T142:T207" si="232">L142-P142</f>
        <v>502305.81</v>
      </c>
      <c r="Y142" s="219">
        <f t="shared" si="225"/>
        <v>0.99999960183633874</v>
      </c>
    </row>
    <row r="143" spans="1:25" customFormat="1" ht="25.5" x14ac:dyDescent="0.2">
      <c r="A143" s="37" t="s">
        <v>348</v>
      </c>
      <c r="B143" s="35">
        <v>5914389</v>
      </c>
      <c r="C143" s="37" t="s">
        <v>331</v>
      </c>
      <c r="D143" s="39" t="s">
        <v>120</v>
      </c>
      <c r="E143" s="78">
        <v>193675.13</v>
      </c>
      <c r="F143" s="45">
        <v>189998.97405000002</v>
      </c>
      <c r="G143" s="44">
        <v>3676.16</v>
      </c>
      <c r="H143" s="45">
        <f t="shared" ref="H143" si="233">F143+G143</f>
        <v>193675.13405000002</v>
      </c>
      <c r="I143" s="44">
        <f t="shared" ref="I143" si="234">ROUND(E143-H143,2)</f>
        <v>0</v>
      </c>
      <c r="J143" s="44">
        <v>0.81</v>
      </c>
      <c r="K143" s="40">
        <f t="shared" si="228"/>
        <v>0.98</v>
      </c>
      <c r="L143" s="40">
        <f>TRUNC(E143*K143,2)</f>
        <v>189801.62</v>
      </c>
      <c r="M143" s="82">
        <f t="shared" ref="M143" si="235">ROUND(F143*$K143,2)</f>
        <v>186198.99</v>
      </c>
      <c r="N143" s="82">
        <f t="shared" ref="N143" si="236">ROUND(G143*$K143,2)</f>
        <v>3602.64</v>
      </c>
      <c r="O143" s="82">
        <f t="shared" ref="O143" si="237">ROUND(H143*$K143,2)</f>
        <v>189801.63</v>
      </c>
      <c r="P143" s="82">
        <f>L143-O143</f>
        <v>-1.0000000009313226E-2</v>
      </c>
      <c r="Q143" s="82">
        <f t="shared" si="140"/>
        <v>1.898108140489001</v>
      </c>
      <c r="R143" s="82">
        <f t="shared" si="141"/>
        <v>100.00000526865892</v>
      </c>
      <c r="S143" s="36">
        <f t="shared" si="142"/>
        <v>-5.2686589341614821E-6</v>
      </c>
      <c r="T143" s="33">
        <f t="shared" si="232"/>
        <v>189801.63</v>
      </c>
      <c r="Y143" s="219">
        <f t="shared" si="225"/>
        <v>1.0000000526865893</v>
      </c>
    </row>
    <row r="144" spans="1:25" customFormat="1" ht="12.75" x14ac:dyDescent="0.2">
      <c r="A144" s="70" t="s">
        <v>55</v>
      </c>
      <c r="B144" s="71"/>
      <c r="C144" s="70" t="s">
        <v>349</v>
      </c>
      <c r="D144" s="72"/>
      <c r="E144" s="81" t="s">
        <v>445</v>
      </c>
      <c r="F144" s="73"/>
      <c r="G144" s="73"/>
      <c r="H144" s="73"/>
      <c r="I144" s="73"/>
      <c r="J144" s="74" t="s">
        <v>445</v>
      </c>
      <c r="K144" s="75"/>
      <c r="L144" s="85">
        <f>SUM(L145)</f>
        <v>108741.13</v>
      </c>
      <c r="M144" s="85">
        <f t="shared" ref="M144:P144" si="238">SUM(M145)</f>
        <v>61346.01</v>
      </c>
      <c r="N144" s="85" t="e">
        <f t="shared" si="238"/>
        <v>#REF!</v>
      </c>
      <c r="O144" s="85" t="e">
        <f t="shared" si="238"/>
        <v>#REF!</v>
      </c>
      <c r="P144" s="85" t="e">
        <f t="shared" si="238"/>
        <v>#REF!</v>
      </c>
      <c r="Q144" s="85" t="e">
        <f t="shared" si="140"/>
        <v>#REF!</v>
      </c>
      <c r="R144" s="85" t="e">
        <f t="shared" si="141"/>
        <v>#REF!</v>
      </c>
      <c r="S144" s="77" t="e">
        <f t="shared" si="142"/>
        <v>#REF!</v>
      </c>
      <c r="T144" s="33" t="e">
        <f t="shared" si="232"/>
        <v>#REF!</v>
      </c>
      <c r="Y144" s="219" t="e">
        <f t="shared" si="225"/>
        <v>#REF!</v>
      </c>
    </row>
    <row r="145" spans="1:25" customFormat="1" ht="25.5" x14ac:dyDescent="0.2">
      <c r="A145" s="37" t="s">
        <v>350</v>
      </c>
      <c r="B145" s="38" t="s">
        <v>351</v>
      </c>
      <c r="C145" s="37" t="s">
        <v>352</v>
      </c>
      <c r="D145" s="39" t="s">
        <v>14</v>
      </c>
      <c r="E145" s="78">
        <v>11832.55</v>
      </c>
      <c r="F145" s="45">
        <v>6675.2999999999993</v>
      </c>
      <c r="G145" s="45" t="e">
        <f>#REF!</f>
        <v>#REF!</v>
      </c>
      <c r="H145" s="45" t="e">
        <f t="shared" ref="H145" si="239">F145+G145</f>
        <v>#REF!</v>
      </c>
      <c r="I145" s="44" t="e">
        <f t="shared" ref="I145" si="240">ROUND(E145-H145,2)</f>
        <v>#REF!</v>
      </c>
      <c r="J145" s="44">
        <v>7.53</v>
      </c>
      <c r="K145" s="40">
        <f>TRUNC(J145*1.2211,2)</f>
        <v>9.19</v>
      </c>
      <c r="L145" s="40">
        <f>TRUNC(E145*K145,2)</f>
        <v>108741.13</v>
      </c>
      <c r="M145" s="82">
        <f t="shared" ref="M145" si="241">ROUND(F145*$K145,2)</f>
        <v>61346.01</v>
      </c>
      <c r="N145" s="82" t="e">
        <f t="shared" ref="N145" si="242">ROUND(G145*$K145,2)</f>
        <v>#REF!</v>
      </c>
      <c r="O145" s="82" t="e">
        <f t="shared" ref="O145" si="243">ROUND(H145*$K145,2)</f>
        <v>#REF!</v>
      </c>
      <c r="P145" s="82" t="e">
        <f t="shared" ref="P145" si="244">ROUND(I145*$K145,2)</f>
        <v>#REF!</v>
      </c>
      <c r="Q145" s="82" t="e">
        <f t="shared" si="140"/>
        <v>#REF!</v>
      </c>
      <c r="R145" s="82" t="e">
        <f t="shared" si="141"/>
        <v>#REF!</v>
      </c>
      <c r="S145" s="36" t="e">
        <f t="shared" si="142"/>
        <v>#REF!</v>
      </c>
      <c r="T145" s="33" t="e">
        <f t="shared" si="232"/>
        <v>#REF!</v>
      </c>
      <c r="Y145" s="219" t="e">
        <f t="shared" si="225"/>
        <v>#REF!</v>
      </c>
    </row>
    <row r="146" spans="1:25" customFormat="1" ht="12.75" x14ac:dyDescent="0.2">
      <c r="A146" s="48" t="s">
        <v>56</v>
      </c>
      <c r="B146" s="49"/>
      <c r="C146" s="48" t="s">
        <v>353</v>
      </c>
      <c r="D146" s="50"/>
      <c r="E146" s="79" t="s">
        <v>445</v>
      </c>
      <c r="F146" s="66"/>
      <c r="G146" s="66"/>
      <c r="H146" s="66"/>
      <c r="I146" s="66"/>
      <c r="J146" s="67" t="s">
        <v>445</v>
      </c>
      <c r="K146" s="52"/>
      <c r="L146" s="84">
        <f>L147+L149+L151+L153</f>
        <v>1768888.52</v>
      </c>
      <c r="M146" s="84">
        <f t="shared" ref="M146:P146" si="245">M147+M149+M151+M153</f>
        <v>531580.59</v>
      </c>
      <c r="N146" s="84" t="e">
        <f t="shared" si="245"/>
        <v>#REF!</v>
      </c>
      <c r="O146" s="84" t="e">
        <f t="shared" si="245"/>
        <v>#REF!</v>
      </c>
      <c r="P146" s="84" t="e">
        <f t="shared" si="245"/>
        <v>#REF!</v>
      </c>
      <c r="Q146" s="84" t="e">
        <f t="shared" si="140"/>
        <v>#REF!</v>
      </c>
      <c r="R146" s="84" t="e">
        <f t="shared" si="141"/>
        <v>#REF!</v>
      </c>
      <c r="S146" s="54" t="e">
        <f t="shared" si="142"/>
        <v>#REF!</v>
      </c>
      <c r="T146" s="33" t="e">
        <f t="shared" si="232"/>
        <v>#REF!</v>
      </c>
      <c r="Y146" s="219" t="e">
        <f t="shared" si="225"/>
        <v>#REF!</v>
      </c>
    </row>
    <row r="147" spans="1:25" customFormat="1" ht="12.75" x14ac:dyDescent="0.2">
      <c r="A147" s="70" t="s">
        <v>57</v>
      </c>
      <c r="B147" s="71"/>
      <c r="C147" s="70" t="s">
        <v>354</v>
      </c>
      <c r="D147" s="72"/>
      <c r="E147" s="81" t="s">
        <v>445</v>
      </c>
      <c r="F147" s="73"/>
      <c r="G147" s="73"/>
      <c r="H147" s="73"/>
      <c r="I147" s="73"/>
      <c r="J147" s="74" t="s">
        <v>445</v>
      </c>
      <c r="K147" s="75"/>
      <c r="L147" s="85">
        <f>L148</f>
        <v>24304.959999999999</v>
      </c>
      <c r="M147" s="85">
        <f t="shared" ref="M147:P147" si="246">M148</f>
        <v>14344.8</v>
      </c>
      <c r="N147" s="85" t="e">
        <f t="shared" si="246"/>
        <v>#REF!</v>
      </c>
      <c r="O147" s="85" t="e">
        <f t="shared" si="246"/>
        <v>#REF!</v>
      </c>
      <c r="P147" s="85" t="e">
        <f t="shared" si="246"/>
        <v>#REF!</v>
      </c>
      <c r="Q147" s="85" t="e">
        <f t="shared" si="140"/>
        <v>#REF!</v>
      </c>
      <c r="R147" s="85" t="e">
        <f t="shared" si="141"/>
        <v>#REF!</v>
      </c>
      <c r="S147" s="77" t="e">
        <f t="shared" si="142"/>
        <v>#REF!</v>
      </c>
      <c r="T147" s="33" t="e">
        <f t="shared" si="232"/>
        <v>#REF!</v>
      </c>
      <c r="Y147" s="219" t="e">
        <f t="shared" si="225"/>
        <v>#REF!</v>
      </c>
    </row>
    <row r="148" spans="1:25" customFormat="1" ht="25.5" x14ac:dyDescent="0.2">
      <c r="A148" s="37" t="s">
        <v>355</v>
      </c>
      <c r="B148" s="38" t="s">
        <v>356</v>
      </c>
      <c r="C148" s="43" t="s">
        <v>357</v>
      </c>
      <c r="D148" s="39" t="s">
        <v>29</v>
      </c>
      <c r="E148" s="78">
        <v>60762.400000000001</v>
      </c>
      <c r="F148" s="45">
        <v>35862</v>
      </c>
      <c r="G148" s="45" t="e">
        <f>#REF!</f>
        <v>#REF!</v>
      </c>
      <c r="H148" s="45" t="e">
        <f t="shared" ref="H148" si="247">F148+G148</f>
        <v>#REF!</v>
      </c>
      <c r="I148" s="44" t="e">
        <f t="shared" ref="I148" si="248">ROUND(E148-H148,2)</f>
        <v>#REF!</v>
      </c>
      <c r="J148" s="44">
        <v>0.33</v>
      </c>
      <c r="K148" s="40">
        <f>TRUNC(J148*1.2211,2)</f>
        <v>0.4</v>
      </c>
      <c r="L148" s="40">
        <f>TRUNC(E148*K148,2)</f>
        <v>24304.959999999999</v>
      </c>
      <c r="M148" s="82">
        <f t="shared" ref="M148" si="249">ROUND(F148*$K148,2)</f>
        <v>14344.8</v>
      </c>
      <c r="N148" s="82" t="e">
        <f t="shared" ref="N148" si="250">ROUND(G148*$K148,2)</f>
        <v>#REF!</v>
      </c>
      <c r="O148" s="82" t="e">
        <f t="shared" ref="O148" si="251">ROUND(H148*$K148,2)</f>
        <v>#REF!</v>
      </c>
      <c r="P148" s="82" t="e">
        <f t="shared" ref="P148" si="252">ROUND(I148*$K148,2)</f>
        <v>#REF!</v>
      </c>
      <c r="Q148" s="82" t="e">
        <f t="shared" si="140"/>
        <v>#REF!</v>
      </c>
      <c r="R148" s="82" t="e">
        <f t="shared" si="141"/>
        <v>#REF!</v>
      </c>
      <c r="S148" s="36" t="e">
        <f t="shared" si="142"/>
        <v>#REF!</v>
      </c>
      <c r="T148" s="33" t="e">
        <f t="shared" si="232"/>
        <v>#REF!</v>
      </c>
      <c r="Y148" s="219" t="e">
        <f t="shared" si="225"/>
        <v>#REF!</v>
      </c>
    </row>
    <row r="149" spans="1:25" customFormat="1" ht="12.75" x14ac:dyDescent="0.2">
      <c r="A149" s="70" t="s">
        <v>58</v>
      </c>
      <c r="B149" s="71"/>
      <c r="C149" s="70" t="s">
        <v>358</v>
      </c>
      <c r="D149" s="72"/>
      <c r="E149" s="81" t="s">
        <v>445</v>
      </c>
      <c r="F149" s="73"/>
      <c r="G149" s="73"/>
      <c r="H149" s="73"/>
      <c r="I149" s="73"/>
      <c r="J149" s="74" t="s">
        <v>445</v>
      </c>
      <c r="K149" s="75"/>
      <c r="L149" s="85">
        <f>L150</f>
        <v>16372.97</v>
      </c>
      <c r="M149" s="85">
        <f t="shared" ref="M149:P149" si="253">M150</f>
        <v>0</v>
      </c>
      <c r="N149" s="85">
        <f t="shared" si="253"/>
        <v>0</v>
      </c>
      <c r="O149" s="85">
        <f t="shared" si="253"/>
        <v>0</v>
      </c>
      <c r="P149" s="85">
        <f t="shared" si="253"/>
        <v>16372.97</v>
      </c>
      <c r="Q149" s="85">
        <f t="shared" si="140"/>
        <v>0</v>
      </c>
      <c r="R149" s="85">
        <f t="shared" si="141"/>
        <v>0</v>
      </c>
      <c r="S149" s="77">
        <f t="shared" si="142"/>
        <v>100</v>
      </c>
      <c r="T149" s="33">
        <f t="shared" si="232"/>
        <v>0</v>
      </c>
      <c r="Y149" s="219">
        <f t="shared" si="225"/>
        <v>0</v>
      </c>
    </row>
    <row r="150" spans="1:25" customFormat="1" ht="12.75" x14ac:dyDescent="0.2">
      <c r="A150" s="37" t="s">
        <v>359</v>
      </c>
      <c r="B150" s="38" t="s">
        <v>360</v>
      </c>
      <c r="C150" s="37" t="s">
        <v>361</v>
      </c>
      <c r="D150" s="39" t="s">
        <v>29</v>
      </c>
      <c r="E150" s="78">
        <v>56458.52</v>
      </c>
      <c r="F150" s="45">
        <v>0</v>
      </c>
      <c r="G150" s="45"/>
      <c r="H150" s="45">
        <f t="shared" ref="H150" si="254">F150+G150</f>
        <v>0</v>
      </c>
      <c r="I150" s="44">
        <f t="shared" ref="I150" si="255">ROUND(E150-H150,2)</f>
        <v>56458.52</v>
      </c>
      <c r="J150" s="44">
        <v>0.24</v>
      </c>
      <c r="K150" s="40">
        <f>TRUNC(J150*1.2211,2)</f>
        <v>0.28999999999999998</v>
      </c>
      <c r="L150" s="40">
        <f>TRUNC(E150*K150,2)</f>
        <v>16372.97</v>
      </c>
      <c r="M150" s="82">
        <f t="shared" ref="M150" si="256">ROUND(F150*$K150,2)</f>
        <v>0</v>
      </c>
      <c r="N150" s="82">
        <f t="shared" ref="N150" si="257">ROUND(G150*$K150,2)</f>
        <v>0</v>
      </c>
      <c r="O150" s="82">
        <f t="shared" ref="O150" si="258">ROUND(H150*$K150,2)</f>
        <v>0</v>
      </c>
      <c r="P150" s="82">
        <f t="shared" ref="P150" si="259">ROUND(I150*$K150,2)</f>
        <v>16372.97</v>
      </c>
      <c r="Q150" s="82">
        <f t="shared" si="140"/>
        <v>0</v>
      </c>
      <c r="R150" s="82">
        <f t="shared" si="141"/>
        <v>0</v>
      </c>
      <c r="S150" s="36">
        <f t="shared" si="142"/>
        <v>100</v>
      </c>
      <c r="T150" s="33">
        <f t="shared" si="232"/>
        <v>0</v>
      </c>
      <c r="Y150" s="219">
        <f t="shared" si="225"/>
        <v>0</v>
      </c>
    </row>
    <row r="151" spans="1:25" customFormat="1" ht="12.75" x14ac:dyDescent="0.2">
      <c r="A151" s="70" t="s">
        <v>59</v>
      </c>
      <c r="B151" s="71"/>
      <c r="C151" s="70" t="s">
        <v>362</v>
      </c>
      <c r="D151" s="72"/>
      <c r="E151" s="81" t="s">
        <v>445</v>
      </c>
      <c r="F151" s="73"/>
      <c r="G151" s="73"/>
      <c r="H151" s="73"/>
      <c r="I151" s="73"/>
      <c r="J151" s="74" t="s">
        <v>445</v>
      </c>
      <c r="K151" s="75"/>
      <c r="L151" s="85">
        <f>L152</f>
        <v>1516673.45</v>
      </c>
      <c r="M151" s="85">
        <f t="shared" ref="M151:P151" si="260">M152</f>
        <v>448083.18</v>
      </c>
      <c r="N151" s="85" t="e">
        <f t="shared" si="260"/>
        <v>#REF!</v>
      </c>
      <c r="O151" s="85" t="e">
        <f t="shared" si="260"/>
        <v>#REF!</v>
      </c>
      <c r="P151" s="85" t="e">
        <f t="shared" si="260"/>
        <v>#REF!</v>
      </c>
      <c r="Q151" s="85" t="e">
        <f t="shared" ref="Q151:Q207" si="261">N151/L151*100</f>
        <v>#REF!</v>
      </c>
      <c r="R151" s="85" t="e">
        <f t="shared" ref="R151:R207" si="262">O151/L151*100</f>
        <v>#REF!</v>
      </c>
      <c r="S151" s="77" t="e">
        <f t="shared" ref="S151:S207" si="263">P151/L151*100</f>
        <v>#REF!</v>
      </c>
      <c r="T151" s="33" t="e">
        <f t="shared" si="232"/>
        <v>#REF!</v>
      </c>
      <c r="Y151" s="219" t="e">
        <f t="shared" si="225"/>
        <v>#REF!</v>
      </c>
    </row>
    <row r="152" spans="1:25" customFormat="1" ht="25.5" x14ac:dyDescent="0.2">
      <c r="A152" s="37" t="s">
        <v>363</v>
      </c>
      <c r="B152" s="38" t="s">
        <v>364</v>
      </c>
      <c r="C152" s="37" t="s">
        <v>365</v>
      </c>
      <c r="D152" s="39" t="s">
        <v>14</v>
      </c>
      <c r="E152" s="78">
        <v>2822.9259999999999</v>
      </c>
      <c r="F152" s="45">
        <v>834</v>
      </c>
      <c r="G152" s="45" t="e">
        <f>#REF!</f>
        <v>#REF!</v>
      </c>
      <c r="H152" s="45" t="e">
        <f t="shared" ref="H152" si="264">F152+G152</f>
        <v>#REF!</v>
      </c>
      <c r="I152" s="44" t="e">
        <f t="shared" ref="I152" si="265">ROUND(E152-H152,2)</f>
        <v>#REF!</v>
      </c>
      <c r="J152" s="44">
        <v>439.99</v>
      </c>
      <c r="K152" s="40">
        <f>TRUNC(J152*1.2211,2)</f>
        <v>537.27</v>
      </c>
      <c r="L152" s="40">
        <f>TRUNC(E152*K152,2)</f>
        <v>1516673.45</v>
      </c>
      <c r="M152" s="82">
        <f t="shared" ref="M152" si="266">ROUND(F152*$K152,2)</f>
        <v>448083.18</v>
      </c>
      <c r="N152" s="82" t="e">
        <f t="shared" ref="N152" si="267">ROUND(G152*$K152,2)</f>
        <v>#REF!</v>
      </c>
      <c r="O152" s="82" t="e">
        <f t="shared" ref="O152" si="268">ROUND(H152*$K152,2)</f>
        <v>#REF!</v>
      </c>
      <c r="P152" s="82" t="e">
        <f>L152-O152</f>
        <v>#REF!</v>
      </c>
      <c r="Q152" s="82" t="e">
        <f t="shared" si="261"/>
        <v>#REF!</v>
      </c>
      <c r="R152" s="82" t="e">
        <f t="shared" si="262"/>
        <v>#REF!</v>
      </c>
      <c r="S152" s="36" t="e">
        <f t="shared" si="263"/>
        <v>#REF!</v>
      </c>
      <c r="T152" s="33" t="e">
        <f t="shared" si="232"/>
        <v>#REF!</v>
      </c>
      <c r="Y152" s="219" t="e">
        <f t="shared" si="225"/>
        <v>#REF!</v>
      </c>
    </row>
    <row r="153" spans="1:25" customFormat="1" ht="12.75" x14ac:dyDescent="0.2">
      <c r="A153" s="70" t="s">
        <v>60</v>
      </c>
      <c r="B153" s="71"/>
      <c r="C153" s="70" t="s">
        <v>366</v>
      </c>
      <c r="D153" s="72"/>
      <c r="E153" s="81" t="s">
        <v>445</v>
      </c>
      <c r="F153" s="73"/>
      <c r="G153" s="73"/>
      <c r="H153" s="73"/>
      <c r="I153" s="73"/>
      <c r="J153" s="74" t="s">
        <v>445</v>
      </c>
      <c r="K153" s="75"/>
      <c r="L153" s="85">
        <f>SUM(L154:L155)</f>
        <v>211537.14</v>
      </c>
      <c r="M153" s="85">
        <f t="shared" ref="M153:P153" si="269">SUM(M154:M155)</f>
        <v>69152.61</v>
      </c>
      <c r="N153" s="85" t="e">
        <f t="shared" si="269"/>
        <v>#REF!</v>
      </c>
      <c r="O153" s="85" t="e">
        <f t="shared" si="269"/>
        <v>#REF!</v>
      </c>
      <c r="P153" s="85" t="e">
        <f t="shared" si="269"/>
        <v>#REF!</v>
      </c>
      <c r="Q153" s="85" t="e">
        <f t="shared" si="261"/>
        <v>#REF!</v>
      </c>
      <c r="R153" s="85" t="e">
        <f t="shared" si="262"/>
        <v>#REF!</v>
      </c>
      <c r="S153" s="77" t="e">
        <f t="shared" si="263"/>
        <v>#REF!</v>
      </c>
      <c r="T153" s="33" t="e">
        <f t="shared" si="232"/>
        <v>#REF!</v>
      </c>
      <c r="Y153" s="219" t="e">
        <f t="shared" si="225"/>
        <v>#REF!</v>
      </c>
    </row>
    <row r="154" spans="1:25" customFormat="1" ht="25.5" x14ac:dyDescent="0.2">
      <c r="A154" s="37" t="s">
        <v>367</v>
      </c>
      <c r="B154" s="38" t="s">
        <v>368</v>
      </c>
      <c r="C154" s="37" t="s">
        <v>369</v>
      </c>
      <c r="D154" s="39" t="s">
        <v>14</v>
      </c>
      <c r="E154" s="78">
        <v>3528.66</v>
      </c>
      <c r="F154" s="45">
        <v>1042.5</v>
      </c>
      <c r="G154" s="45" t="e">
        <f>G152*1.25</f>
        <v>#REF!</v>
      </c>
      <c r="H154" s="45" t="e">
        <f>H152*1.25</f>
        <v>#REF!</v>
      </c>
      <c r="I154" s="44" t="e">
        <f t="shared" ref="I154" si="270">ROUND(E154-H154,2)</f>
        <v>#REF!</v>
      </c>
      <c r="J154" s="44">
        <v>6.34</v>
      </c>
      <c r="K154" s="40">
        <f t="shared" ref="K154:K155" si="271">TRUNC(J154*1.2211,2)</f>
        <v>7.74</v>
      </c>
      <c r="L154" s="40">
        <f t="shared" ref="L154:L155" si="272">TRUNC(E154*K154,2)</f>
        <v>27311.82</v>
      </c>
      <c r="M154" s="82">
        <f t="shared" ref="M154" si="273">ROUND(F154*$K154,2)</f>
        <v>8068.95</v>
      </c>
      <c r="N154" s="82" t="e">
        <f t="shared" ref="N154" si="274">ROUND(G154*$K154,2)</f>
        <v>#REF!</v>
      </c>
      <c r="O154" s="82" t="e">
        <f t="shared" ref="O154" si="275">ROUND(H154*$K154,2)</f>
        <v>#REF!</v>
      </c>
      <c r="P154" s="82" t="e">
        <f>L154-O154</f>
        <v>#REF!</v>
      </c>
      <c r="Q154" s="82" t="e">
        <f t="shared" si="261"/>
        <v>#REF!</v>
      </c>
      <c r="R154" s="82" t="e">
        <f t="shared" si="262"/>
        <v>#REF!</v>
      </c>
      <c r="S154" s="36" t="e">
        <f t="shared" si="263"/>
        <v>#REF!</v>
      </c>
      <c r="T154" s="33" t="e">
        <f t="shared" si="232"/>
        <v>#REF!</v>
      </c>
      <c r="Y154" s="219" t="e">
        <f t="shared" si="225"/>
        <v>#REF!</v>
      </c>
    </row>
    <row r="155" spans="1:25" customFormat="1" ht="25.5" x14ac:dyDescent="0.2">
      <c r="A155" s="37" t="s">
        <v>370</v>
      </c>
      <c r="B155" s="35">
        <v>914612</v>
      </c>
      <c r="C155" s="37" t="s">
        <v>371</v>
      </c>
      <c r="D155" s="39" t="s">
        <v>120</v>
      </c>
      <c r="E155" s="78">
        <v>116598.31</v>
      </c>
      <c r="F155" s="45">
        <v>38660.544000000002</v>
      </c>
      <c r="G155" s="45" t="e">
        <f>G154*17.21*2.4</f>
        <v>#REF!</v>
      </c>
      <c r="H155" s="45" t="e">
        <f t="shared" ref="H155" si="276">F155+G155</f>
        <v>#REF!</v>
      </c>
      <c r="I155" s="44" t="e">
        <f t="shared" ref="I155" si="277">ROUND(E155-H155,2)</f>
        <v>#REF!</v>
      </c>
      <c r="J155" s="44">
        <v>1.3</v>
      </c>
      <c r="K155" s="40">
        <f t="shared" si="271"/>
        <v>1.58</v>
      </c>
      <c r="L155" s="40">
        <f t="shared" si="272"/>
        <v>184225.32</v>
      </c>
      <c r="M155" s="82">
        <f t="shared" ref="M155" si="278">ROUND(F155*$K155,2)</f>
        <v>61083.66</v>
      </c>
      <c r="N155" s="82" t="e">
        <f t="shared" ref="N155" si="279">ROUND(G155*$K155,2)</f>
        <v>#REF!</v>
      </c>
      <c r="O155" s="82" t="e">
        <f t="shared" ref="O155" si="280">ROUND(H155*$K155,2)</f>
        <v>#REF!</v>
      </c>
      <c r="P155" s="82" t="e">
        <f>L155-O155</f>
        <v>#REF!</v>
      </c>
      <c r="Q155" s="82" t="e">
        <f t="shared" si="261"/>
        <v>#REF!</v>
      </c>
      <c r="R155" s="82" t="e">
        <f t="shared" si="262"/>
        <v>#REF!</v>
      </c>
      <c r="S155" s="36" t="e">
        <f t="shared" si="263"/>
        <v>#REF!</v>
      </c>
      <c r="T155" s="33" t="e">
        <f t="shared" si="232"/>
        <v>#REF!</v>
      </c>
      <c r="Y155" s="219" t="e">
        <f t="shared" si="225"/>
        <v>#REF!</v>
      </c>
    </row>
    <row r="156" spans="1:25" customFormat="1" ht="12.75" x14ac:dyDescent="0.2">
      <c r="A156" s="48" t="s">
        <v>61</v>
      </c>
      <c r="B156" s="49"/>
      <c r="C156" s="68"/>
      <c r="D156" s="50"/>
      <c r="E156" s="79" t="s">
        <v>445</v>
      </c>
      <c r="F156" s="66"/>
      <c r="G156" s="66"/>
      <c r="H156" s="66"/>
      <c r="I156" s="66"/>
      <c r="J156" s="67" t="s">
        <v>445</v>
      </c>
      <c r="K156" s="52"/>
      <c r="L156" s="53">
        <f>SUM(L157:L158)</f>
        <v>399085.83</v>
      </c>
      <c r="M156" s="84">
        <f t="shared" ref="M156:P156" si="281">SUM(M157:M158)</f>
        <v>0</v>
      </c>
      <c r="N156" s="84">
        <f t="shared" si="281"/>
        <v>0</v>
      </c>
      <c r="O156" s="84">
        <f t="shared" si="281"/>
        <v>0</v>
      </c>
      <c r="P156" s="84">
        <f t="shared" si="281"/>
        <v>399085.83</v>
      </c>
      <c r="Q156" s="84">
        <f t="shared" si="261"/>
        <v>0</v>
      </c>
      <c r="R156" s="84">
        <f t="shared" si="262"/>
        <v>0</v>
      </c>
      <c r="S156" s="54">
        <f t="shared" si="263"/>
        <v>100</v>
      </c>
      <c r="T156" s="33">
        <f t="shared" si="232"/>
        <v>0</v>
      </c>
      <c r="Y156" s="219">
        <f t="shared" si="225"/>
        <v>0</v>
      </c>
    </row>
    <row r="157" spans="1:25" customFormat="1" ht="25.5" x14ac:dyDescent="0.2">
      <c r="A157" s="37" t="s">
        <v>62</v>
      </c>
      <c r="B157" s="35" t="s">
        <v>372</v>
      </c>
      <c r="C157" s="37" t="s">
        <v>373</v>
      </c>
      <c r="D157" s="39" t="s">
        <v>29</v>
      </c>
      <c r="E157" s="78">
        <v>3567</v>
      </c>
      <c r="F157" s="45">
        <v>0</v>
      </c>
      <c r="G157" s="45"/>
      <c r="H157" s="45">
        <f t="shared" ref="H157" si="282">F157+G157</f>
        <v>0</v>
      </c>
      <c r="I157" s="44">
        <f t="shared" ref="I157" si="283">ROUND(E157-H157,2)</f>
        <v>3567</v>
      </c>
      <c r="J157" s="44">
        <v>78.430000000000007</v>
      </c>
      <c r="K157" s="40">
        <f t="shared" ref="K157:K158" si="284">TRUNC(J157*1.2211,2)</f>
        <v>95.77</v>
      </c>
      <c r="L157" s="40">
        <f t="shared" ref="L157:L158" si="285">TRUNC(E157*K157,2)</f>
        <v>341611.59</v>
      </c>
      <c r="M157" s="82">
        <f t="shared" ref="M157" si="286">ROUND(F157*$K157,2)</f>
        <v>0</v>
      </c>
      <c r="N157" s="82">
        <f t="shared" ref="N157" si="287">ROUND(G157*$K157,2)</f>
        <v>0</v>
      </c>
      <c r="O157" s="82">
        <f t="shared" ref="O157" si="288">ROUND(H157*$K157,2)</f>
        <v>0</v>
      </c>
      <c r="P157" s="82">
        <f t="shared" ref="P157" si="289">ROUND(I157*$K157,2)</f>
        <v>341611.59</v>
      </c>
      <c r="Q157" s="82">
        <f t="shared" si="261"/>
        <v>0</v>
      </c>
      <c r="R157" s="82">
        <f t="shared" si="262"/>
        <v>0</v>
      </c>
      <c r="S157" s="36">
        <f t="shared" si="263"/>
        <v>100</v>
      </c>
      <c r="T157" s="33">
        <f t="shared" si="232"/>
        <v>0</v>
      </c>
      <c r="Y157" s="219">
        <f t="shared" si="225"/>
        <v>0</v>
      </c>
    </row>
    <row r="158" spans="1:25" customFormat="1" ht="12.75" x14ac:dyDescent="0.2">
      <c r="A158" s="37" t="s">
        <v>374</v>
      </c>
      <c r="B158" s="38" t="s">
        <v>375</v>
      </c>
      <c r="C158" s="37" t="s">
        <v>376</v>
      </c>
      <c r="D158" s="39" t="s">
        <v>37</v>
      </c>
      <c r="E158" s="78">
        <v>1311</v>
      </c>
      <c r="F158" s="45">
        <v>0</v>
      </c>
      <c r="G158" s="45"/>
      <c r="H158" s="45">
        <f t="shared" ref="H158" si="290">F158+G158</f>
        <v>0</v>
      </c>
      <c r="I158" s="44">
        <f t="shared" ref="I158" si="291">ROUND(E158-H158,2)</f>
        <v>1311</v>
      </c>
      <c r="J158" s="44">
        <v>35.909999999999997</v>
      </c>
      <c r="K158" s="40">
        <f t="shared" si="284"/>
        <v>43.84</v>
      </c>
      <c r="L158" s="40">
        <f t="shared" si="285"/>
        <v>57474.239999999998</v>
      </c>
      <c r="M158" s="82">
        <f t="shared" ref="M158" si="292">ROUND(F158*$K158,2)</f>
        <v>0</v>
      </c>
      <c r="N158" s="82">
        <f t="shared" ref="N158" si="293">ROUND(G158*$K158,2)</f>
        <v>0</v>
      </c>
      <c r="O158" s="82">
        <f t="shared" ref="O158" si="294">ROUND(H158*$K158,2)</f>
        <v>0</v>
      </c>
      <c r="P158" s="82">
        <f t="shared" ref="P158" si="295">ROUND(I158*$K158,2)</f>
        <v>57474.239999999998</v>
      </c>
      <c r="Q158" s="82">
        <f t="shared" si="261"/>
        <v>0</v>
      </c>
      <c r="R158" s="82">
        <f t="shared" si="262"/>
        <v>0</v>
      </c>
      <c r="S158" s="36">
        <f t="shared" si="263"/>
        <v>100</v>
      </c>
      <c r="T158" s="33">
        <f t="shared" si="232"/>
        <v>0</v>
      </c>
      <c r="Y158" s="219">
        <f t="shared" si="225"/>
        <v>0</v>
      </c>
    </row>
    <row r="159" spans="1:25" customFormat="1" ht="12.75" x14ac:dyDescent="0.2">
      <c r="A159" s="55" t="s">
        <v>63</v>
      </c>
      <c r="B159" s="56"/>
      <c r="C159" s="55" t="s">
        <v>377</v>
      </c>
      <c r="D159" s="57"/>
      <c r="E159" s="80" t="s">
        <v>445</v>
      </c>
      <c r="F159" s="62"/>
      <c r="G159" s="62"/>
      <c r="H159" s="62"/>
      <c r="I159" s="62"/>
      <c r="J159" s="63" t="s">
        <v>445</v>
      </c>
      <c r="K159" s="59"/>
      <c r="L159" s="83">
        <f>L160+L168</f>
        <v>541342.48</v>
      </c>
      <c r="M159" s="83">
        <f t="shared" ref="M159:P159" si="296">M160+M168</f>
        <v>0</v>
      </c>
      <c r="N159" s="83">
        <f t="shared" si="296"/>
        <v>0</v>
      </c>
      <c r="O159" s="83">
        <f t="shared" si="296"/>
        <v>0</v>
      </c>
      <c r="P159" s="83">
        <f t="shared" si="296"/>
        <v>541342.48</v>
      </c>
      <c r="Q159" s="83">
        <f t="shared" si="261"/>
        <v>0</v>
      </c>
      <c r="R159" s="83">
        <f t="shared" si="262"/>
        <v>0</v>
      </c>
      <c r="S159" s="61">
        <f t="shared" si="263"/>
        <v>100</v>
      </c>
      <c r="T159" s="33">
        <f t="shared" si="232"/>
        <v>0</v>
      </c>
      <c r="Y159" s="219">
        <f t="shared" si="225"/>
        <v>0</v>
      </c>
    </row>
    <row r="160" spans="1:25" customFormat="1" ht="12.75" x14ac:dyDescent="0.2">
      <c r="A160" s="48" t="s">
        <v>64</v>
      </c>
      <c r="B160" s="49"/>
      <c r="C160" s="48" t="s">
        <v>378</v>
      </c>
      <c r="D160" s="50"/>
      <c r="E160" s="79" t="s">
        <v>445</v>
      </c>
      <c r="F160" s="66"/>
      <c r="G160" s="66"/>
      <c r="H160" s="66"/>
      <c r="I160" s="66"/>
      <c r="J160" s="67" t="s">
        <v>445</v>
      </c>
      <c r="K160" s="52"/>
      <c r="L160" s="84">
        <f>SUM(L161:L167)</f>
        <v>200598.35</v>
      </c>
      <c r="M160" s="84">
        <f t="shared" ref="M160:P160" si="297">SUM(M161:M167)</f>
        <v>0</v>
      </c>
      <c r="N160" s="84">
        <f t="shared" si="297"/>
        <v>0</v>
      </c>
      <c r="O160" s="84">
        <f t="shared" si="297"/>
        <v>0</v>
      </c>
      <c r="P160" s="84">
        <f t="shared" si="297"/>
        <v>200598.35</v>
      </c>
      <c r="Q160" s="84">
        <f t="shared" si="261"/>
        <v>0</v>
      </c>
      <c r="R160" s="84">
        <f t="shared" si="262"/>
        <v>0</v>
      </c>
      <c r="S160" s="54">
        <f t="shared" si="263"/>
        <v>100</v>
      </c>
      <c r="T160" s="33">
        <f t="shared" si="232"/>
        <v>0</v>
      </c>
      <c r="Y160" s="219">
        <f t="shared" si="225"/>
        <v>0</v>
      </c>
    </row>
    <row r="161" spans="1:25" customFormat="1" ht="25.5" x14ac:dyDescent="0.2">
      <c r="A161" s="37" t="s">
        <v>65</v>
      </c>
      <c r="B161" s="35">
        <v>5213446</v>
      </c>
      <c r="C161" s="37" t="s">
        <v>379</v>
      </c>
      <c r="D161" s="39" t="s">
        <v>226</v>
      </c>
      <c r="E161" s="78">
        <v>3</v>
      </c>
      <c r="F161" s="45">
        <v>0</v>
      </c>
      <c r="G161" s="45"/>
      <c r="H161" s="45">
        <f t="shared" ref="H161" si="298">F161+G161</f>
        <v>0</v>
      </c>
      <c r="I161" s="44">
        <f t="shared" ref="I161" si="299">ROUND(E161-H161,2)</f>
        <v>3</v>
      </c>
      <c r="J161" s="44">
        <v>517.9</v>
      </c>
      <c r="K161" s="40">
        <f t="shared" ref="K161:K167" si="300">TRUNC(J161*1.2211,2)</f>
        <v>632.4</v>
      </c>
      <c r="L161" s="40">
        <f t="shared" ref="L161:L167" si="301">TRUNC(E161*K161,2)</f>
        <v>1897.2</v>
      </c>
      <c r="M161" s="82">
        <f t="shared" ref="M161" si="302">ROUND(F161*$K161,2)</f>
        <v>0</v>
      </c>
      <c r="N161" s="82">
        <f t="shared" ref="N161" si="303">ROUND(G161*$K161,2)</f>
        <v>0</v>
      </c>
      <c r="O161" s="82">
        <f t="shared" ref="O161" si="304">ROUND(H161*$K161,2)</f>
        <v>0</v>
      </c>
      <c r="P161" s="82">
        <f t="shared" ref="P161" si="305">ROUND(I161*$K161,2)</f>
        <v>1897.2</v>
      </c>
      <c r="Q161" s="82">
        <f t="shared" si="261"/>
        <v>0</v>
      </c>
      <c r="R161" s="82">
        <f t="shared" si="262"/>
        <v>0</v>
      </c>
      <c r="S161" s="36">
        <f t="shared" si="263"/>
        <v>100</v>
      </c>
      <c r="T161" s="33">
        <f t="shared" si="232"/>
        <v>0</v>
      </c>
      <c r="Y161" s="219">
        <f t="shared" si="225"/>
        <v>0</v>
      </c>
    </row>
    <row r="162" spans="1:25" customFormat="1" ht="25.5" x14ac:dyDescent="0.2">
      <c r="A162" s="37" t="s">
        <v>66</v>
      </c>
      <c r="B162" s="35">
        <v>5213450</v>
      </c>
      <c r="C162" s="37" t="s">
        <v>380</v>
      </c>
      <c r="D162" s="39" t="s">
        <v>226</v>
      </c>
      <c r="E162" s="78">
        <v>5</v>
      </c>
      <c r="F162" s="45">
        <v>0</v>
      </c>
      <c r="G162" s="45"/>
      <c r="H162" s="45">
        <f t="shared" ref="H162:H167" si="306">F162+G162</f>
        <v>0</v>
      </c>
      <c r="I162" s="44">
        <f t="shared" ref="I162:I167" si="307">ROUND(E162-H162,2)</f>
        <v>5</v>
      </c>
      <c r="J162" s="44">
        <v>330.35</v>
      </c>
      <c r="K162" s="40">
        <f t="shared" si="300"/>
        <v>403.39</v>
      </c>
      <c r="L162" s="40">
        <f t="shared" si="301"/>
        <v>2016.95</v>
      </c>
      <c r="M162" s="82">
        <f t="shared" ref="M162:M167" si="308">ROUND(F162*$K162,2)</f>
        <v>0</v>
      </c>
      <c r="N162" s="82">
        <f t="shared" ref="N162:N167" si="309">ROUND(G162*$K162,2)</f>
        <v>0</v>
      </c>
      <c r="O162" s="82">
        <f t="shared" ref="O162:O167" si="310">ROUND(H162*$K162,2)</f>
        <v>0</v>
      </c>
      <c r="P162" s="82">
        <f t="shared" ref="P162:P167" si="311">ROUND(I162*$K162,2)</f>
        <v>2016.95</v>
      </c>
      <c r="Q162" s="82">
        <f t="shared" si="261"/>
        <v>0</v>
      </c>
      <c r="R162" s="82">
        <f t="shared" si="262"/>
        <v>0</v>
      </c>
      <c r="S162" s="36">
        <f t="shared" si="263"/>
        <v>100</v>
      </c>
      <c r="T162" s="33">
        <f t="shared" si="232"/>
        <v>0</v>
      </c>
      <c r="Y162" s="219">
        <f t="shared" si="225"/>
        <v>0</v>
      </c>
    </row>
    <row r="163" spans="1:25" customFormat="1" ht="25.5" x14ac:dyDescent="0.2">
      <c r="A163" s="37" t="s">
        <v>67</v>
      </c>
      <c r="B163" s="35">
        <v>5213442</v>
      </c>
      <c r="C163" s="37" t="s">
        <v>381</v>
      </c>
      <c r="D163" s="39" t="s">
        <v>226</v>
      </c>
      <c r="E163" s="78">
        <v>59</v>
      </c>
      <c r="F163" s="45">
        <v>0</v>
      </c>
      <c r="G163" s="45"/>
      <c r="H163" s="45">
        <f t="shared" si="306"/>
        <v>0</v>
      </c>
      <c r="I163" s="44">
        <f t="shared" si="307"/>
        <v>59</v>
      </c>
      <c r="J163" s="44">
        <v>517.91999999999996</v>
      </c>
      <c r="K163" s="40">
        <f t="shared" si="300"/>
        <v>632.42999999999995</v>
      </c>
      <c r="L163" s="40">
        <f t="shared" si="301"/>
        <v>37313.370000000003</v>
      </c>
      <c r="M163" s="82">
        <f t="shared" si="308"/>
        <v>0</v>
      </c>
      <c r="N163" s="82">
        <f t="shared" si="309"/>
        <v>0</v>
      </c>
      <c r="O163" s="82">
        <f t="shared" si="310"/>
        <v>0</v>
      </c>
      <c r="P163" s="82">
        <f t="shared" si="311"/>
        <v>37313.370000000003</v>
      </c>
      <c r="Q163" s="82">
        <f t="shared" si="261"/>
        <v>0</v>
      </c>
      <c r="R163" s="82">
        <f t="shared" si="262"/>
        <v>0</v>
      </c>
      <c r="S163" s="36">
        <f t="shared" si="263"/>
        <v>100</v>
      </c>
      <c r="T163" s="33">
        <f t="shared" si="232"/>
        <v>0</v>
      </c>
      <c r="Y163" s="219">
        <f t="shared" si="225"/>
        <v>0</v>
      </c>
    </row>
    <row r="164" spans="1:25" customFormat="1" ht="25.5" x14ac:dyDescent="0.2">
      <c r="A164" s="37" t="s">
        <v>382</v>
      </c>
      <c r="B164" s="35">
        <v>5213466</v>
      </c>
      <c r="C164" s="37" t="s">
        <v>383</v>
      </c>
      <c r="D164" s="39" t="s">
        <v>226</v>
      </c>
      <c r="E164" s="78">
        <v>40</v>
      </c>
      <c r="F164" s="45">
        <v>0</v>
      </c>
      <c r="G164" s="45"/>
      <c r="H164" s="45">
        <f t="shared" si="306"/>
        <v>0</v>
      </c>
      <c r="I164" s="44">
        <f t="shared" si="307"/>
        <v>40</v>
      </c>
      <c r="J164" s="44">
        <v>517.91999999999996</v>
      </c>
      <c r="K164" s="40">
        <f t="shared" si="300"/>
        <v>632.42999999999995</v>
      </c>
      <c r="L164" s="40">
        <f t="shared" si="301"/>
        <v>25297.200000000001</v>
      </c>
      <c r="M164" s="82">
        <f t="shared" si="308"/>
        <v>0</v>
      </c>
      <c r="N164" s="82">
        <f t="shared" si="309"/>
        <v>0</v>
      </c>
      <c r="O164" s="82">
        <f t="shared" si="310"/>
        <v>0</v>
      </c>
      <c r="P164" s="82">
        <f t="shared" si="311"/>
        <v>25297.200000000001</v>
      </c>
      <c r="Q164" s="82">
        <f t="shared" si="261"/>
        <v>0</v>
      </c>
      <c r="R164" s="82">
        <f t="shared" si="262"/>
        <v>0</v>
      </c>
      <c r="S164" s="36">
        <f t="shared" si="263"/>
        <v>100</v>
      </c>
      <c r="T164" s="33">
        <f t="shared" si="232"/>
        <v>0</v>
      </c>
      <c r="Y164" s="219">
        <f t="shared" si="225"/>
        <v>0</v>
      </c>
    </row>
    <row r="165" spans="1:25" customFormat="1" ht="25.5" x14ac:dyDescent="0.2">
      <c r="A165" s="37" t="s">
        <v>384</v>
      </c>
      <c r="B165" s="35">
        <v>5213498</v>
      </c>
      <c r="C165" s="37" t="s">
        <v>385</v>
      </c>
      <c r="D165" s="39" t="s">
        <v>226</v>
      </c>
      <c r="E165" s="78">
        <v>19</v>
      </c>
      <c r="F165" s="45">
        <v>0</v>
      </c>
      <c r="G165" s="45"/>
      <c r="H165" s="45">
        <f t="shared" si="306"/>
        <v>0</v>
      </c>
      <c r="I165" s="44">
        <f t="shared" si="307"/>
        <v>19</v>
      </c>
      <c r="J165" s="44">
        <v>1026.4000000000001</v>
      </c>
      <c r="K165" s="40">
        <f t="shared" si="300"/>
        <v>1253.33</v>
      </c>
      <c r="L165" s="40">
        <f t="shared" si="301"/>
        <v>23813.27</v>
      </c>
      <c r="M165" s="82">
        <f t="shared" si="308"/>
        <v>0</v>
      </c>
      <c r="N165" s="82">
        <f t="shared" si="309"/>
        <v>0</v>
      </c>
      <c r="O165" s="82">
        <f t="shared" si="310"/>
        <v>0</v>
      </c>
      <c r="P165" s="82">
        <f t="shared" si="311"/>
        <v>23813.27</v>
      </c>
      <c r="Q165" s="82">
        <f t="shared" si="261"/>
        <v>0</v>
      </c>
      <c r="R165" s="82">
        <f t="shared" si="262"/>
        <v>0</v>
      </c>
      <c r="S165" s="36">
        <f t="shared" si="263"/>
        <v>100</v>
      </c>
      <c r="T165" s="33">
        <f t="shared" si="232"/>
        <v>0</v>
      </c>
      <c r="Y165" s="219">
        <f t="shared" si="225"/>
        <v>0</v>
      </c>
    </row>
    <row r="166" spans="1:25" customFormat="1" ht="12.75" x14ac:dyDescent="0.2">
      <c r="A166" s="37" t="s">
        <v>386</v>
      </c>
      <c r="B166" s="35">
        <v>5213571</v>
      </c>
      <c r="C166" s="37" t="s">
        <v>387</v>
      </c>
      <c r="D166" s="39" t="s">
        <v>29</v>
      </c>
      <c r="E166" s="78">
        <v>130.30000000000001</v>
      </c>
      <c r="F166" s="45">
        <v>0</v>
      </c>
      <c r="G166" s="45"/>
      <c r="H166" s="45">
        <f t="shared" si="306"/>
        <v>0</v>
      </c>
      <c r="I166" s="44">
        <f t="shared" si="307"/>
        <v>130.30000000000001</v>
      </c>
      <c r="J166" s="44">
        <v>525.45000000000005</v>
      </c>
      <c r="K166" s="40">
        <f t="shared" si="300"/>
        <v>641.62</v>
      </c>
      <c r="L166" s="40">
        <f t="shared" si="301"/>
        <v>83603.08</v>
      </c>
      <c r="M166" s="82">
        <f t="shared" si="308"/>
        <v>0</v>
      </c>
      <c r="N166" s="82">
        <f t="shared" si="309"/>
        <v>0</v>
      </c>
      <c r="O166" s="82">
        <f t="shared" si="310"/>
        <v>0</v>
      </c>
      <c r="P166" s="82">
        <f>L166-O166</f>
        <v>83603.08</v>
      </c>
      <c r="Q166" s="82">
        <f t="shared" si="261"/>
        <v>0</v>
      </c>
      <c r="R166" s="82">
        <f t="shared" si="262"/>
        <v>0</v>
      </c>
      <c r="S166" s="36">
        <f t="shared" si="263"/>
        <v>100</v>
      </c>
      <c r="T166" s="33">
        <f t="shared" si="232"/>
        <v>0</v>
      </c>
      <c r="Y166" s="219">
        <f t="shared" si="225"/>
        <v>0</v>
      </c>
    </row>
    <row r="167" spans="1:25" customFormat="1" ht="25.5" x14ac:dyDescent="0.2">
      <c r="A167" s="37" t="s">
        <v>388</v>
      </c>
      <c r="B167" s="35">
        <v>5216111</v>
      </c>
      <c r="C167" s="37" t="s">
        <v>389</v>
      </c>
      <c r="D167" s="39" t="s">
        <v>226</v>
      </c>
      <c r="E167" s="78">
        <v>178</v>
      </c>
      <c r="F167" s="45">
        <v>0</v>
      </c>
      <c r="G167" s="45"/>
      <c r="H167" s="45">
        <f t="shared" si="306"/>
        <v>0</v>
      </c>
      <c r="I167" s="44">
        <f t="shared" si="307"/>
        <v>178</v>
      </c>
      <c r="J167" s="44">
        <v>122.65</v>
      </c>
      <c r="K167" s="40">
        <f t="shared" si="300"/>
        <v>149.76</v>
      </c>
      <c r="L167" s="40">
        <f t="shared" si="301"/>
        <v>26657.279999999999</v>
      </c>
      <c r="M167" s="82">
        <f t="shared" si="308"/>
        <v>0</v>
      </c>
      <c r="N167" s="82">
        <f t="shared" si="309"/>
        <v>0</v>
      </c>
      <c r="O167" s="82">
        <f t="shared" si="310"/>
        <v>0</v>
      </c>
      <c r="P167" s="82">
        <f t="shared" si="311"/>
        <v>26657.279999999999</v>
      </c>
      <c r="Q167" s="82">
        <f t="shared" si="261"/>
        <v>0</v>
      </c>
      <c r="R167" s="82">
        <f t="shared" si="262"/>
        <v>0</v>
      </c>
      <c r="S167" s="36">
        <f t="shared" si="263"/>
        <v>100</v>
      </c>
      <c r="T167" s="33">
        <f t="shared" si="232"/>
        <v>0</v>
      </c>
      <c r="Y167" s="219">
        <f t="shared" si="225"/>
        <v>0</v>
      </c>
    </row>
    <row r="168" spans="1:25" customFormat="1" ht="12.75" x14ac:dyDescent="0.2">
      <c r="A168" s="48" t="s">
        <v>68</v>
      </c>
      <c r="B168" s="49"/>
      <c r="C168" s="48" t="s">
        <v>390</v>
      </c>
      <c r="D168" s="50"/>
      <c r="E168" s="79" t="s">
        <v>445</v>
      </c>
      <c r="F168" s="66"/>
      <c r="G168" s="66"/>
      <c r="H168" s="66"/>
      <c r="I168" s="66"/>
      <c r="J168" s="67" t="s">
        <v>445</v>
      </c>
      <c r="K168" s="52"/>
      <c r="L168" s="53">
        <f>SUM(L169:L173)</f>
        <v>340744.13</v>
      </c>
      <c r="M168" s="84">
        <f t="shared" ref="M168:P168" si="312">SUM(M169:M173)</f>
        <v>0</v>
      </c>
      <c r="N168" s="84">
        <f t="shared" si="312"/>
        <v>0</v>
      </c>
      <c r="O168" s="84">
        <f t="shared" si="312"/>
        <v>0</v>
      </c>
      <c r="P168" s="84">
        <f t="shared" si="312"/>
        <v>340744.13</v>
      </c>
      <c r="Q168" s="84">
        <f t="shared" si="261"/>
        <v>0</v>
      </c>
      <c r="R168" s="84">
        <f t="shared" si="262"/>
        <v>0</v>
      </c>
      <c r="S168" s="54">
        <f t="shared" si="263"/>
        <v>100</v>
      </c>
      <c r="T168" s="33">
        <f t="shared" si="232"/>
        <v>0</v>
      </c>
      <c r="Y168" s="219">
        <f t="shared" si="225"/>
        <v>0</v>
      </c>
    </row>
    <row r="169" spans="1:25" customFormat="1" ht="25.5" x14ac:dyDescent="0.2">
      <c r="A169" s="37" t="s">
        <v>69</v>
      </c>
      <c r="B169" s="35">
        <v>5213413</v>
      </c>
      <c r="C169" s="37" t="s">
        <v>391</v>
      </c>
      <c r="D169" s="39" t="s">
        <v>29</v>
      </c>
      <c r="E169" s="78">
        <v>2455</v>
      </c>
      <c r="F169" s="45">
        <v>0</v>
      </c>
      <c r="G169" s="45"/>
      <c r="H169" s="45">
        <f t="shared" ref="H169" si="313">F169+G169</f>
        <v>0</v>
      </c>
      <c r="I169" s="44">
        <f t="shared" ref="I169" si="314">ROUND(E169-H169,2)</f>
        <v>2455</v>
      </c>
      <c r="J169" s="44">
        <v>61.63</v>
      </c>
      <c r="K169" s="40">
        <f t="shared" ref="K169:K173" si="315">TRUNC(J169*1.2211,2)</f>
        <v>75.25</v>
      </c>
      <c r="L169" s="40">
        <f t="shared" ref="L169:L173" si="316">TRUNC(E169*K169,2)</f>
        <v>184738.75</v>
      </c>
      <c r="M169" s="82">
        <f t="shared" ref="M169" si="317">ROUND(F169*$K169,2)</f>
        <v>0</v>
      </c>
      <c r="N169" s="82">
        <f t="shared" ref="N169" si="318">ROUND(G169*$K169,2)</f>
        <v>0</v>
      </c>
      <c r="O169" s="82">
        <f t="shared" ref="O169" si="319">ROUND(H169*$K169,2)</f>
        <v>0</v>
      </c>
      <c r="P169" s="82">
        <f t="shared" ref="P169" si="320">ROUND(I169*$K169,2)</f>
        <v>184738.75</v>
      </c>
      <c r="Q169" s="82">
        <f t="shared" si="261"/>
        <v>0</v>
      </c>
      <c r="R169" s="82">
        <f t="shared" si="262"/>
        <v>0</v>
      </c>
      <c r="S169" s="36">
        <f t="shared" si="263"/>
        <v>100</v>
      </c>
      <c r="T169" s="33">
        <f t="shared" si="232"/>
        <v>0</v>
      </c>
      <c r="Y169" s="219">
        <f t="shared" si="225"/>
        <v>0</v>
      </c>
    </row>
    <row r="170" spans="1:25" customFormat="1" ht="25.5" x14ac:dyDescent="0.2">
      <c r="A170" s="37" t="s">
        <v>70</v>
      </c>
      <c r="B170" s="35">
        <v>5213405</v>
      </c>
      <c r="C170" s="37" t="s">
        <v>392</v>
      </c>
      <c r="D170" s="39" t="s">
        <v>29</v>
      </c>
      <c r="E170" s="78">
        <v>91.68</v>
      </c>
      <c r="F170" s="45">
        <v>0</v>
      </c>
      <c r="G170" s="45"/>
      <c r="H170" s="45">
        <f t="shared" ref="H170:H173" si="321">F170+G170</f>
        <v>0</v>
      </c>
      <c r="I170" s="44">
        <f t="shared" ref="I170:I173" si="322">ROUND(E170-H170,2)</f>
        <v>91.68</v>
      </c>
      <c r="J170" s="44">
        <v>51.02</v>
      </c>
      <c r="K170" s="40">
        <f t="shared" si="315"/>
        <v>62.3</v>
      </c>
      <c r="L170" s="40">
        <f t="shared" si="316"/>
        <v>5711.66</v>
      </c>
      <c r="M170" s="82">
        <f t="shared" ref="M170:M173" si="323">ROUND(F170*$K170,2)</f>
        <v>0</v>
      </c>
      <c r="N170" s="82">
        <f t="shared" ref="N170:N173" si="324">ROUND(G170*$K170,2)</f>
        <v>0</v>
      </c>
      <c r="O170" s="82">
        <f t="shared" ref="O170:O173" si="325">ROUND(H170*$K170,2)</f>
        <v>0</v>
      </c>
      <c r="P170" s="82">
        <f t="shared" ref="P170:P173" si="326">ROUND(I170*$K170,2)</f>
        <v>5711.66</v>
      </c>
      <c r="Q170" s="82">
        <f t="shared" si="261"/>
        <v>0</v>
      </c>
      <c r="R170" s="82">
        <f t="shared" si="262"/>
        <v>0</v>
      </c>
      <c r="S170" s="36">
        <f t="shared" si="263"/>
        <v>100</v>
      </c>
      <c r="T170" s="33">
        <f t="shared" si="232"/>
        <v>0</v>
      </c>
      <c r="Y170" s="219">
        <f t="shared" si="225"/>
        <v>0</v>
      </c>
    </row>
    <row r="171" spans="1:25" customFormat="1" ht="25.5" x14ac:dyDescent="0.2">
      <c r="A171" s="37" t="s">
        <v>71</v>
      </c>
      <c r="B171" s="38" t="s">
        <v>393</v>
      </c>
      <c r="C171" s="37" t="s">
        <v>394</v>
      </c>
      <c r="D171" s="39" t="s">
        <v>29</v>
      </c>
      <c r="E171" s="78">
        <v>38.4</v>
      </c>
      <c r="F171" s="45">
        <v>0</v>
      </c>
      <c r="G171" s="45"/>
      <c r="H171" s="45">
        <f t="shared" si="321"/>
        <v>0</v>
      </c>
      <c r="I171" s="44">
        <f t="shared" si="322"/>
        <v>38.4</v>
      </c>
      <c r="J171" s="44">
        <v>23.32</v>
      </c>
      <c r="K171" s="40">
        <f t="shared" si="315"/>
        <v>28.47</v>
      </c>
      <c r="L171" s="40">
        <f t="shared" si="316"/>
        <v>1093.24</v>
      </c>
      <c r="M171" s="82">
        <f t="shared" si="323"/>
        <v>0</v>
      </c>
      <c r="N171" s="82">
        <f t="shared" si="324"/>
        <v>0</v>
      </c>
      <c r="O171" s="82">
        <f t="shared" si="325"/>
        <v>0</v>
      </c>
      <c r="P171" s="82">
        <f>L171-O171</f>
        <v>1093.24</v>
      </c>
      <c r="Q171" s="82">
        <f t="shared" si="261"/>
        <v>0</v>
      </c>
      <c r="R171" s="82">
        <f t="shared" si="262"/>
        <v>0</v>
      </c>
      <c r="S171" s="36">
        <f t="shared" si="263"/>
        <v>100</v>
      </c>
      <c r="T171" s="33">
        <f t="shared" si="232"/>
        <v>0</v>
      </c>
      <c r="Y171" s="219">
        <f t="shared" si="225"/>
        <v>0</v>
      </c>
    </row>
    <row r="172" spans="1:25" customFormat="1" ht="25.5" x14ac:dyDescent="0.2">
      <c r="A172" s="37" t="s">
        <v>72</v>
      </c>
      <c r="B172" s="35">
        <v>5219623</v>
      </c>
      <c r="C172" s="37" t="s">
        <v>395</v>
      </c>
      <c r="D172" s="39" t="s">
        <v>226</v>
      </c>
      <c r="E172" s="78">
        <v>1059</v>
      </c>
      <c r="F172" s="45">
        <v>0</v>
      </c>
      <c r="G172" s="45"/>
      <c r="H172" s="45">
        <f t="shared" si="321"/>
        <v>0</v>
      </c>
      <c r="I172" s="44">
        <f t="shared" si="322"/>
        <v>1059</v>
      </c>
      <c r="J172" s="44">
        <v>53.41</v>
      </c>
      <c r="K172" s="40">
        <f t="shared" si="315"/>
        <v>65.209999999999994</v>
      </c>
      <c r="L172" s="40">
        <f t="shared" si="316"/>
        <v>69057.39</v>
      </c>
      <c r="M172" s="82">
        <f t="shared" si="323"/>
        <v>0</v>
      </c>
      <c r="N172" s="82">
        <f t="shared" si="324"/>
        <v>0</v>
      </c>
      <c r="O172" s="82">
        <f t="shared" si="325"/>
        <v>0</v>
      </c>
      <c r="P172" s="82">
        <f t="shared" si="326"/>
        <v>69057.39</v>
      </c>
      <c r="Q172" s="82">
        <f t="shared" si="261"/>
        <v>0</v>
      </c>
      <c r="R172" s="82">
        <f t="shared" si="262"/>
        <v>0</v>
      </c>
      <c r="S172" s="36">
        <f t="shared" si="263"/>
        <v>100</v>
      </c>
      <c r="T172" s="33">
        <f t="shared" si="232"/>
        <v>0</v>
      </c>
      <c r="Y172" s="219">
        <f t="shared" si="225"/>
        <v>0</v>
      </c>
    </row>
    <row r="173" spans="1:25" customFormat="1" ht="25.5" x14ac:dyDescent="0.2">
      <c r="A173" s="37" t="s">
        <v>73</v>
      </c>
      <c r="B173" s="35">
        <v>5219631</v>
      </c>
      <c r="C173" s="37" t="s">
        <v>396</v>
      </c>
      <c r="D173" s="39" t="s">
        <v>226</v>
      </c>
      <c r="E173" s="78">
        <v>1229</v>
      </c>
      <c r="F173" s="45">
        <v>0</v>
      </c>
      <c r="G173" s="45"/>
      <c r="H173" s="45">
        <f t="shared" si="321"/>
        <v>0</v>
      </c>
      <c r="I173" s="44">
        <f t="shared" si="322"/>
        <v>1229</v>
      </c>
      <c r="J173" s="44">
        <v>53.41</v>
      </c>
      <c r="K173" s="40">
        <f t="shared" si="315"/>
        <v>65.209999999999994</v>
      </c>
      <c r="L173" s="40">
        <f t="shared" si="316"/>
        <v>80143.09</v>
      </c>
      <c r="M173" s="82">
        <f t="shared" si="323"/>
        <v>0</v>
      </c>
      <c r="N173" s="82">
        <f t="shared" si="324"/>
        <v>0</v>
      </c>
      <c r="O173" s="82">
        <f t="shared" si="325"/>
        <v>0</v>
      </c>
      <c r="P173" s="82">
        <f t="shared" si="326"/>
        <v>80143.09</v>
      </c>
      <c r="Q173" s="82">
        <f t="shared" si="261"/>
        <v>0</v>
      </c>
      <c r="R173" s="82">
        <f t="shared" si="262"/>
        <v>0</v>
      </c>
      <c r="S173" s="36">
        <f t="shared" si="263"/>
        <v>100</v>
      </c>
      <c r="T173" s="33">
        <f t="shared" si="232"/>
        <v>0</v>
      </c>
      <c r="Y173" s="219">
        <f t="shared" si="225"/>
        <v>0</v>
      </c>
    </row>
    <row r="174" spans="1:25" customFormat="1" ht="12.75" x14ac:dyDescent="0.2">
      <c r="A174" s="55" t="s">
        <v>74</v>
      </c>
      <c r="B174" s="56"/>
      <c r="C174" s="55" t="s">
        <v>397</v>
      </c>
      <c r="D174" s="57"/>
      <c r="E174" s="80" t="s">
        <v>445</v>
      </c>
      <c r="F174" s="62"/>
      <c r="G174" s="62"/>
      <c r="H174" s="62"/>
      <c r="I174" s="62"/>
      <c r="J174" s="63" t="s">
        <v>445</v>
      </c>
      <c r="K174" s="59"/>
      <c r="L174" s="60">
        <f>L175+L178+L183+L188</f>
        <v>704610.42</v>
      </c>
      <c r="M174" s="83">
        <f t="shared" ref="M174:P174" si="327">M175+M178+M183+M188</f>
        <v>150031.89000000001</v>
      </c>
      <c r="N174" s="83">
        <f t="shared" si="327"/>
        <v>3715.5</v>
      </c>
      <c r="O174" s="83">
        <f t="shared" si="327"/>
        <v>153747.39000000001</v>
      </c>
      <c r="P174" s="83">
        <f t="shared" si="327"/>
        <v>550863.02999999991</v>
      </c>
      <c r="Q174" s="83">
        <f t="shared" si="261"/>
        <v>0.52731266733182847</v>
      </c>
      <c r="R174" s="83">
        <f t="shared" si="262"/>
        <v>21.820198174191066</v>
      </c>
      <c r="S174" s="61">
        <f t="shared" si="263"/>
        <v>78.179801825808909</v>
      </c>
      <c r="T174" s="33">
        <f t="shared" si="232"/>
        <v>153747.39000000013</v>
      </c>
      <c r="Y174" s="219">
        <f t="shared" si="225"/>
        <v>0.21820198174191066</v>
      </c>
    </row>
    <row r="175" spans="1:25" customFormat="1" ht="12.75" x14ac:dyDescent="0.2">
      <c r="A175" s="48" t="s">
        <v>75</v>
      </c>
      <c r="B175" s="49"/>
      <c r="C175" s="48" t="s">
        <v>398</v>
      </c>
      <c r="D175" s="50"/>
      <c r="E175" s="79" t="s">
        <v>445</v>
      </c>
      <c r="F175" s="66"/>
      <c r="G175" s="66"/>
      <c r="H175" s="66"/>
      <c r="I175" s="66"/>
      <c r="J175" s="67" t="s">
        <v>445</v>
      </c>
      <c r="K175" s="52"/>
      <c r="L175" s="53">
        <f>SUM(L176:L177)</f>
        <v>190053.78</v>
      </c>
      <c r="M175" s="84">
        <f t="shared" ref="M175:P175" si="328">SUM(M176:M177)</f>
        <v>0</v>
      </c>
      <c r="N175" s="84">
        <f t="shared" si="328"/>
        <v>0</v>
      </c>
      <c r="O175" s="84">
        <f t="shared" si="328"/>
        <v>0</v>
      </c>
      <c r="P175" s="84">
        <f t="shared" si="328"/>
        <v>190053.78</v>
      </c>
      <c r="Q175" s="84">
        <f t="shared" si="261"/>
        <v>0</v>
      </c>
      <c r="R175" s="84">
        <f t="shared" si="262"/>
        <v>0</v>
      </c>
      <c r="S175" s="54">
        <f t="shared" si="263"/>
        <v>100</v>
      </c>
      <c r="T175" s="33">
        <f t="shared" si="232"/>
        <v>0</v>
      </c>
      <c r="Y175" s="219">
        <f t="shared" si="225"/>
        <v>0</v>
      </c>
    </row>
    <row r="176" spans="1:25" customFormat="1" ht="12.75" x14ac:dyDescent="0.2">
      <c r="A176" s="37" t="s">
        <v>76</v>
      </c>
      <c r="B176" s="38" t="s">
        <v>399</v>
      </c>
      <c r="C176" s="37" t="s">
        <v>400</v>
      </c>
      <c r="D176" s="39" t="s">
        <v>29</v>
      </c>
      <c r="E176" s="78">
        <v>3710.25</v>
      </c>
      <c r="F176" s="45">
        <v>0</v>
      </c>
      <c r="G176" s="45"/>
      <c r="H176" s="45">
        <f t="shared" ref="H176" si="329">F176+G176</f>
        <v>0</v>
      </c>
      <c r="I176" s="44">
        <f t="shared" ref="I176" si="330">ROUND(E176-H176,2)</f>
        <v>3710.25</v>
      </c>
      <c r="J176" s="44">
        <v>19.34</v>
      </c>
      <c r="K176" s="40">
        <f t="shared" ref="K176:K177" si="331">TRUNC(J176*1.2211,2)</f>
        <v>23.61</v>
      </c>
      <c r="L176" s="40">
        <f t="shared" ref="L176:L177" si="332">TRUNC(E176*K176,2)</f>
        <v>87599</v>
      </c>
      <c r="M176" s="82">
        <f t="shared" ref="M176" si="333">ROUND(F176*$K176,2)</f>
        <v>0</v>
      </c>
      <c r="N176" s="82">
        <f t="shared" ref="N176" si="334">ROUND(G176*$K176,2)</f>
        <v>0</v>
      </c>
      <c r="O176" s="82">
        <f t="shared" ref="O176" si="335">ROUND(H176*$K176,2)</f>
        <v>0</v>
      </c>
      <c r="P176" s="82">
        <f t="shared" ref="P176" si="336">ROUND(I176*$K176,2)</f>
        <v>87599</v>
      </c>
      <c r="Q176" s="82">
        <f t="shared" si="261"/>
        <v>0</v>
      </c>
      <c r="R176" s="82">
        <f t="shared" si="262"/>
        <v>0</v>
      </c>
      <c r="S176" s="36">
        <f t="shared" si="263"/>
        <v>100</v>
      </c>
      <c r="T176" s="33">
        <f t="shared" si="232"/>
        <v>0</v>
      </c>
      <c r="Y176" s="219">
        <f t="shared" si="225"/>
        <v>0</v>
      </c>
    </row>
    <row r="177" spans="1:25" customFormat="1" ht="12.75" x14ac:dyDescent="0.2">
      <c r="A177" s="38" t="s">
        <v>79</v>
      </c>
      <c r="B177" s="37" t="s">
        <v>401</v>
      </c>
      <c r="C177" s="37" t="s">
        <v>402</v>
      </c>
      <c r="D177" s="39" t="s">
        <v>29</v>
      </c>
      <c r="E177" s="78">
        <v>40656.660000000003</v>
      </c>
      <c r="F177" s="45">
        <v>0</v>
      </c>
      <c r="G177" s="45"/>
      <c r="H177" s="45">
        <f t="shared" ref="H177" si="337">F177+G177</f>
        <v>0</v>
      </c>
      <c r="I177" s="44">
        <f t="shared" ref="I177" si="338">ROUND(E177-H177,2)</f>
        <v>40656.660000000003</v>
      </c>
      <c r="J177" s="44">
        <v>2.0699999999999998</v>
      </c>
      <c r="K177" s="40">
        <f t="shared" si="331"/>
        <v>2.52</v>
      </c>
      <c r="L177" s="40">
        <f t="shared" si="332"/>
        <v>102454.78</v>
      </c>
      <c r="M177" s="82">
        <f t="shared" ref="M177" si="339">ROUND(F177*$K177,2)</f>
        <v>0</v>
      </c>
      <c r="N177" s="82">
        <f t="shared" ref="N177" si="340">ROUND(G177*$K177,2)</f>
        <v>0</v>
      </c>
      <c r="O177" s="82">
        <f t="shared" ref="O177" si="341">ROUND(H177*$K177,2)</f>
        <v>0</v>
      </c>
      <c r="P177" s="82">
        <f t="shared" ref="P177" si="342">ROUND(I177*$K177,2)</f>
        <v>102454.78</v>
      </c>
      <c r="Q177" s="82">
        <f t="shared" si="261"/>
        <v>0</v>
      </c>
      <c r="R177" s="82">
        <f t="shared" si="262"/>
        <v>0</v>
      </c>
      <c r="S177" s="36">
        <f t="shared" si="263"/>
        <v>100</v>
      </c>
      <c r="T177" s="33">
        <f t="shared" si="232"/>
        <v>0</v>
      </c>
      <c r="Y177" s="219">
        <f t="shared" si="225"/>
        <v>0</v>
      </c>
    </row>
    <row r="178" spans="1:25" customFormat="1" ht="12.75" x14ac:dyDescent="0.2">
      <c r="A178" s="48" t="s">
        <v>403</v>
      </c>
      <c r="B178" s="68"/>
      <c r="C178" s="48" t="s">
        <v>404</v>
      </c>
      <c r="D178" s="50"/>
      <c r="E178" s="79" t="s">
        <v>445</v>
      </c>
      <c r="F178" s="66"/>
      <c r="G178" s="66"/>
      <c r="H178" s="66"/>
      <c r="I178" s="66"/>
      <c r="J178" s="67" t="s">
        <v>445</v>
      </c>
      <c r="K178" s="69"/>
      <c r="L178" s="84">
        <f>SUM(L179:L182)</f>
        <v>469122.18</v>
      </c>
      <c r="M178" s="84">
        <f t="shared" ref="M178:P178" si="343">SUM(M179:M182)</f>
        <v>150031.89000000001</v>
      </c>
      <c r="N178" s="84">
        <f t="shared" si="343"/>
        <v>3715.5</v>
      </c>
      <c r="O178" s="84">
        <f t="shared" si="343"/>
        <v>153747.39000000001</v>
      </c>
      <c r="P178" s="84">
        <f t="shared" si="343"/>
        <v>315374.78999999998</v>
      </c>
      <c r="Q178" s="84">
        <f t="shared" si="261"/>
        <v>0.7920111558144618</v>
      </c>
      <c r="R178" s="84">
        <f t="shared" si="262"/>
        <v>32.773421627602431</v>
      </c>
      <c r="S178" s="54">
        <f t="shared" si="263"/>
        <v>67.226578372397569</v>
      </c>
      <c r="T178" s="33">
        <f t="shared" si="232"/>
        <v>153747.39000000001</v>
      </c>
      <c r="Y178" s="219">
        <f t="shared" si="225"/>
        <v>0.32773421627602434</v>
      </c>
    </row>
    <row r="179" spans="1:25" customFormat="1" ht="12.75" x14ac:dyDescent="0.2">
      <c r="A179" s="37" t="s">
        <v>405</v>
      </c>
      <c r="B179" s="38" t="s">
        <v>406</v>
      </c>
      <c r="C179" s="37" t="s">
        <v>407</v>
      </c>
      <c r="D179" s="39" t="s">
        <v>22</v>
      </c>
      <c r="E179" s="78">
        <v>50</v>
      </c>
      <c r="F179" s="45">
        <v>0</v>
      </c>
      <c r="G179" s="45"/>
      <c r="H179" s="45">
        <f t="shared" ref="H179" si="344">F179+G179</f>
        <v>0</v>
      </c>
      <c r="I179" s="44">
        <f t="shared" ref="I179" si="345">ROUND(E179-H179,2)</f>
        <v>50</v>
      </c>
      <c r="J179" s="44">
        <v>93.47</v>
      </c>
      <c r="K179" s="40">
        <f t="shared" ref="K179:K182" si="346">TRUNC(J179*1.2211,2)</f>
        <v>114.13</v>
      </c>
      <c r="L179" s="40">
        <f t="shared" ref="L179:L182" si="347">TRUNC(E179*K179,2)</f>
        <v>5706.5</v>
      </c>
      <c r="M179" s="82">
        <f t="shared" ref="M179" si="348">ROUND(F179*$K179,2)</f>
        <v>0</v>
      </c>
      <c r="N179" s="82">
        <f t="shared" ref="N179" si="349">ROUND(G179*$K179,2)</f>
        <v>0</v>
      </c>
      <c r="O179" s="82">
        <f t="shared" ref="O179" si="350">ROUND(H179*$K179,2)</f>
        <v>0</v>
      </c>
      <c r="P179" s="82">
        <f t="shared" ref="P179" si="351">ROUND(I179*$K179,2)</f>
        <v>5706.5</v>
      </c>
      <c r="Q179" s="82">
        <f t="shared" si="261"/>
        <v>0</v>
      </c>
      <c r="R179" s="82">
        <f t="shared" si="262"/>
        <v>0</v>
      </c>
      <c r="S179" s="36">
        <f t="shared" si="263"/>
        <v>100</v>
      </c>
      <c r="T179" s="33">
        <f t="shared" si="232"/>
        <v>0</v>
      </c>
      <c r="Y179" s="219">
        <f t="shared" si="225"/>
        <v>0</v>
      </c>
    </row>
    <row r="180" spans="1:25" customFormat="1" ht="25.5" x14ac:dyDescent="0.2">
      <c r="A180" s="37" t="s">
        <v>408</v>
      </c>
      <c r="B180" s="38" t="s">
        <v>409</v>
      </c>
      <c r="C180" s="37" t="s">
        <v>410</v>
      </c>
      <c r="D180" s="39" t="s">
        <v>37</v>
      </c>
      <c r="E180" s="78">
        <v>4883</v>
      </c>
      <c r="F180" s="45">
        <v>0</v>
      </c>
      <c r="G180" s="45"/>
      <c r="H180" s="45">
        <f t="shared" ref="H180:H182" si="352">F180+G180</f>
        <v>0</v>
      </c>
      <c r="I180" s="44">
        <f t="shared" ref="I180:I182" si="353">ROUND(E180-H180,2)</f>
        <v>4883</v>
      </c>
      <c r="J180" s="44">
        <v>1.3</v>
      </c>
      <c r="K180" s="40">
        <f t="shared" si="346"/>
        <v>1.58</v>
      </c>
      <c r="L180" s="40">
        <f t="shared" si="347"/>
        <v>7715.14</v>
      </c>
      <c r="M180" s="82">
        <f t="shared" ref="M180:M182" si="354">ROUND(F180*$K180,2)</f>
        <v>0</v>
      </c>
      <c r="N180" s="82">
        <f t="shared" ref="N180:N182" si="355">ROUND(G180*$K180,2)</f>
        <v>0</v>
      </c>
      <c r="O180" s="82">
        <f t="shared" ref="O180:O182" si="356">ROUND(H180*$K180,2)</f>
        <v>0</v>
      </c>
      <c r="P180" s="82">
        <f t="shared" ref="P180:P182" si="357">ROUND(I180*$K180,2)</f>
        <v>7715.14</v>
      </c>
      <c r="Q180" s="82">
        <f t="shared" si="261"/>
        <v>0</v>
      </c>
      <c r="R180" s="82">
        <f t="shared" si="262"/>
        <v>0</v>
      </c>
      <c r="S180" s="36">
        <f t="shared" si="263"/>
        <v>100</v>
      </c>
      <c r="T180" s="33">
        <f t="shared" si="232"/>
        <v>0</v>
      </c>
      <c r="Y180" s="219">
        <f t="shared" si="225"/>
        <v>0</v>
      </c>
    </row>
    <row r="181" spans="1:25" customFormat="1" ht="12.75" x14ac:dyDescent="0.2">
      <c r="A181" s="37" t="s">
        <v>411</v>
      </c>
      <c r="B181" s="38" t="s">
        <v>412</v>
      </c>
      <c r="C181" s="37" t="s">
        <v>85</v>
      </c>
      <c r="D181" s="39" t="s">
        <v>86</v>
      </c>
      <c r="E181" s="78">
        <v>60057</v>
      </c>
      <c r="F181" s="45">
        <v>0</v>
      </c>
      <c r="G181" s="45"/>
      <c r="H181" s="45">
        <f t="shared" si="352"/>
        <v>0</v>
      </c>
      <c r="I181" s="44">
        <f t="shared" si="353"/>
        <v>60057</v>
      </c>
      <c r="J181" s="44">
        <v>0.45</v>
      </c>
      <c r="K181" s="40">
        <f t="shared" si="346"/>
        <v>0.54</v>
      </c>
      <c r="L181" s="40">
        <f t="shared" si="347"/>
        <v>32430.78</v>
      </c>
      <c r="M181" s="82">
        <f t="shared" si="354"/>
        <v>0</v>
      </c>
      <c r="N181" s="82">
        <f t="shared" si="355"/>
        <v>0</v>
      </c>
      <c r="O181" s="82">
        <f t="shared" si="356"/>
        <v>0</v>
      </c>
      <c r="P181" s="82">
        <f t="shared" si="357"/>
        <v>32430.78</v>
      </c>
      <c r="Q181" s="82">
        <f t="shared" si="261"/>
        <v>0</v>
      </c>
      <c r="R181" s="82">
        <f t="shared" si="262"/>
        <v>0</v>
      </c>
      <c r="S181" s="36">
        <f t="shared" si="263"/>
        <v>100</v>
      </c>
      <c r="T181" s="33">
        <f t="shared" si="232"/>
        <v>0</v>
      </c>
      <c r="Y181" s="219">
        <f t="shared" si="225"/>
        <v>0</v>
      </c>
    </row>
    <row r="182" spans="1:25" customFormat="1" ht="25.5" x14ac:dyDescent="0.2">
      <c r="A182" s="37" t="s">
        <v>413</v>
      </c>
      <c r="B182" s="43"/>
      <c r="C182" s="37" t="s">
        <v>414</v>
      </c>
      <c r="D182" s="39" t="s">
        <v>37</v>
      </c>
      <c r="E182" s="78">
        <v>17088</v>
      </c>
      <c r="F182" s="45">
        <v>6057</v>
      </c>
      <c r="G182" s="45">
        <v>150</v>
      </c>
      <c r="H182" s="45">
        <f t="shared" si="352"/>
        <v>6207</v>
      </c>
      <c r="I182" s="44">
        <f t="shared" si="353"/>
        <v>10881</v>
      </c>
      <c r="J182" s="44">
        <v>20.29</v>
      </c>
      <c r="K182" s="40">
        <f t="shared" si="346"/>
        <v>24.77</v>
      </c>
      <c r="L182" s="40">
        <f t="shared" si="347"/>
        <v>423269.76</v>
      </c>
      <c r="M182" s="82">
        <f t="shared" si="354"/>
        <v>150031.89000000001</v>
      </c>
      <c r="N182" s="82">
        <f t="shared" si="355"/>
        <v>3715.5</v>
      </c>
      <c r="O182" s="82">
        <f t="shared" si="356"/>
        <v>153747.39000000001</v>
      </c>
      <c r="P182" s="82">
        <f t="shared" si="357"/>
        <v>269522.37</v>
      </c>
      <c r="Q182" s="82">
        <f t="shared" si="261"/>
        <v>0.87780898876404501</v>
      </c>
      <c r="R182" s="82">
        <f t="shared" si="262"/>
        <v>36.323735955056179</v>
      </c>
      <c r="S182" s="36">
        <f t="shared" si="263"/>
        <v>63.676264044943821</v>
      </c>
      <c r="T182" s="33">
        <f t="shared" si="232"/>
        <v>153747.39000000001</v>
      </c>
      <c r="Y182" s="219">
        <f t="shared" si="225"/>
        <v>0.3632373595505618</v>
      </c>
    </row>
    <row r="183" spans="1:25" customFormat="1" ht="12.75" x14ac:dyDescent="0.2">
      <c r="A183" s="48" t="s">
        <v>415</v>
      </c>
      <c r="B183" s="68"/>
      <c r="C183" s="48" t="s">
        <v>416</v>
      </c>
      <c r="D183" s="50"/>
      <c r="E183" s="79" t="s">
        <v>445</v>
      </c>
      <c r="F183" s="66"/>
      <c r="G183" s="66"/>
      <c r="H183" s="66"/>
      <c r="I183" s="66"/>
      <c r="J183" s="67" t="s">
        <v>445</v>
      </c>
      <c r="K183" s="69"/>
      <c r="L183" s="84">
        <f>SUM(L184:L187)</f>
        <v>28473.059999999998</v>
      </c>
      <c r="M183" s="84">
        <f t="shared" ref="M183:P183" si="358">SUM(M184:M187)</f>
        <v>0</v>
      </c>
      <c r="N183" s="84">
        <f t="shared" si="358"/>
        <v>0</v>
      </c>
      <c r="O183" s="84">
        <f t="shared" si="358"/>
        <v>0</v>
      </c>
      <c r="P183" s="84">
        <f t="shared" si="358"/>
        <v>28473.059999999998</v>
      </c>
      <c r="Q183" s="84">
        <f t="shared" si="261"/>
        <v>0</v>
      </c>
      <c r="R183" s="84">
        <f t="shared" si="262"/>
        <v>0</v>
      </c>
      <c r="S183" s="54">
        <f t="shared" si="263"/>
        <v>100</v>
      </c>
      <c r="T183" s="33">
        <f t="shared" si="232"/>
        <v>0</v>
      </c>
      <c r="Y183" s="219">
        <f t="shared" si="225"/>
        <v>0</v>
      </c>
    </row>
    <row r="184" spans="1:25" customFormat="1" ht="38.25" x14ac:dyDescent="0.2">
      <c r="A184" s="37" t="s">
        <v>417</v>
      </c>
      <c r="B184" s="38" t="s">
        <v>418</v>
      </c>
      <c r="C184" s="43" t="s">
        <v>419</v>
      </c>
      <c r="D184" s="39" t="s">
        <v>29</v>
      </c>
      <c r="E184" s="78">
        <v>210</v>
      </c>
      <c r="F184" s="45">
        <v>0</v>
      </c>
      <c r="G184" s="45"/>
      <c r="H184" s="45">
        <f t="shared" ref="H184" si="359">F184+G184</f>
        <v>0</v>
      </c>
      <c r="I184" s="44">
        <f t="shared" ref="I184" si="360">ROUND(E184-H184,2)</f>
        <v>210</v>
      </c>
      <c r="J184" s="44">
        <v>87.88</v>
      </c>
      <c r="K184" s="40">
        <f t="shared" ref="K184:K187" si="361">TRUNC(J184*1.2211,2)</f>
        <v>107.31</v>
      </c>
      <c r="L184" s="40">
        <f t="shared" ref="L184:L187" si="362">TRUNC(E184*K184,2)</f>
        <v>22535.1</v>
      </c>
      <c r="M184" s="82">
        <f t="shared" ref="M184" si="363">ROUND(F184*$K184,2)</f>
        <v>0</v>
      </c>
      <c r="N184" s="82">
        <f t="shared" ref="N184" si="364">ROUND(G184*$K184,2)</f>
        <v>0</v>
      </c>
      <c r="O184" s="82">
        <f t="shared" ref="O184" si="365">ROUND(H184*$K184,2)</f>
        <v>0</v>
      </c>
      <c r="P184" s="82">
        <f t="shared" ref="P184" si="366">ROUND(I184*$K184,2)</f>
        <v>22535.1</v>
      </c>
      <c r="Q184" s="82">
        <f t="shared" si="261"/>
        <v>0</v>
      </c>
      <c r="R184" s="82">
        <f t="shared" si="262"/>
        <v>0</v>
      </c>
      <c r="S184" s="36">
        <f t="shared" si="263"/>
        <v>100</v>
      </c>
      <c r="T184" s="33">
        <f t="shared" si="232"/>
        <v>0</v>
      </c>
      <c r="Y184" s="219">
        <f t="shared" si="225"/>
        <v>0</v>
      </c>
    </row>
    <row r="185" spans="1:25" customFormat="1" ht="25.5" x14ac:dyDescent="0.2">
      <c r="A185" s="37" t="s">
        <v>420</v>
      </c>
      <c r="B185" s="38" t="s">
        <v>421</v>
      </c>
      <c r="C185" s="37" t="s">
        <v>422</v>
      </c>
      <c r="D185" s="39" t="s">
        <v>14</v>
      </c>
      <c r="E185" s="78">
        <v>21</v>
      </c>
      <c r="F185" s="45">
        <v>0</v>
      </c>
      <c r="G185" s="45"/>
      <c r="H185" s="45">
        <f t="shared" ref="H185:H187" si="367">F185+G185</f>
        <v>0</v>
      </c>
      <c r="I185" s="44">
        <f t="shared" ref="I185:I187" si="368">ROUND(E185-H185,2)</f>
        <v>21</v>
      </c>
      <c r="J185" s="44">
        <v>167.82</v>
      </c>
      <c r="K185" s="40">
        <f t="shared" si="361"/>
        <v>204.92</v>
      </c>
      <c r="L185" s="40">
        <f t="shared" si="362"/>
        <v>4303.32</v>
      </c>
      <c r="M185" s="82">
        <f t="shared" ref="M185:M187" si="369">ROUND(F185*$K185,2)</f>
        <v>0</v>
      </c>
      <c r="N185" s="82">
        <f t="shared" ref="N185:N187" si="370">ROUND(G185*$K185,2)</f>
        <v>0</v>
      </c>
      <c r="O185" s="82">
        <f t="shared" ref="O185:O187" si="371">ROUND(H185*$K185,2)</f>
        <v>0</v>
      </c>
      <c r="P185" s="82">
        <f t="shared" ref="P185:P187" si="372">ROUND(I185*$K185,2)</f>
        <v>4303.32</v>
      </c>
      <c r="Q185" s="82">
        <f t="shared" si="261"/>
        <v>0</v>
      </c>
      <c r="R185" s="82">
        <f t="shared" si="262"/>
        <v>0</v>
      </c>
      <c r="S185" s="36">
        <f t="shared" si="263"/>
        <v>100</v>
      </c>
      <c r="T185" s="33">
        <f t="shared" si="232"/>
        <v>0</v>
      </c>
      <c r="Y185" s="219">
        <f t="shared" si="225"/>
        <v>0</v>
      </c>
    </row>
    <row r="186" spans="1:25" customFormat="1" ht="25.5" x14ac:dyDescent="0.2">
      <c r="A186" s="37" t="s">
        <v>423</v>
      </c>
      <c r="B186" s="38" t="s">
        <v>424</v>
      </c>
      <c r="C186" s="37" t="s">
        <v>425</v>
      </c>
      <c r="D186" s="39" t="s">
        <v>37</v>
      </c>
      <c r="E186" s="78">
        <v>21</v>
      </c>
      <c r="F186" s="45">
        <v>0</v>
      </c>
      <c r="G186" s="45"/>
      <c r="H186" s="45">
        <f t="shared" si="367"/>
        <v>0</v>
      </c>
      <c r="I186" s="44">
        <f t="shared" si="368"/>
        <v>21</v>
      </c>
      <c r="J186" s="44">
        <v>41.44</v>
      </c>
      <c r="K186" s="40">
        <f t="shared" si="361"/>
        <v>50.6</v>
      </c>
      <c r="L186" s="40">
        <f t="shared" si="362"/>
        <v>1062.5999999999999</v>
      </c>
      <c r="M186" s="82">
        <f t="shared" si="369"/>
        <v>0</v>
      </c>
      <c r="N186" s="82">
        <f t="shared" si="370"/>
        <v>0</v>
      </c>
      <c r="O186" s="82">
        <f t="shared" si="371"/>
        <v>0</v>
      </c>
      <c r="P186" s="82">
        <f t="shared" si="372"/>
        <v>1062.5999999999999</v>
      </c>
      <c r="Q186" s="82">
        <f t="shared" si="261"/>
        <v>0</v>
      </c>
      <c r="R186" s="82">
        <f t="shared" si="262"/>
        <v>0</v>
      </c>
      <c r="S186" s="36">
        <f t="shared" si="263"/>
        <v>100</v>
      </c>
      <c r="T186" s="33">
        <f t="shared" si="232"/>
        <v>0</v>
      </c>
      <c r="Y186" s="219">
        <f t="shared" si="225"/>
        <v>0</v>
      </c>
    </row>
    <row r="187" spans="1:25" customFormat="1" ht="25.5" x14ac:dyDescent="0.2">
      <c r="A187" s="37" t="s">
        <v>426</v>
      </c>
      <c r="B187" s="38" t="s">
        <v>427</v>
      </c>
      <c r="C187" s="37" t="s">
        <v>428</v>
      </c>
      <c r="D187" s="39" t="s">
        <v>37</v>
      </c>
      <c r="E187" s="78">
        <v>7</v>
      </c>
      <c r="F187" s="45">
        <v>0</v>
      </c>
      <c r="G187" s="45"/>
      <c r="H187" s="45">
        <f t="shared" si="367"/>
        <v>0</v>
      </c>
      <c r="I187" s="44">
        <f t="shared" si="368"/>
        <v>7</v>
      </c>
      <c r="J187" s="44">
        <v>66.930000000000007</v>
      </c>
      <c r="K187" s="40">
        <f t="shared" si="361"/>
        <v>81.72</v>
      </c>
      <c r="L187" s="40">
        <f t="shared" si="362"/>
        <v>572.04</v>
      </c>
      <c r="M187" s="82">
        <f t="shared" si="369"/>
        <v>0</v>
      </c>
      <c r="N187" s="82">
        <f t="shared" si="370"/>
        <v>0</v>
      </c>
      <c r="O187" s="82">
        <f t="shared" si="371"/>
        <v>0</v>
      </c>
      <c r="P187" s="82">
        <f t="shared" si="372"/>
        <v>572.04</v>
      </c>
      <c r="Q187" s="82">
        <f t="shared" si="261"/>
        <v>0</v>
      </c>
      <c r="R187" s="82">
        <f t="shared" si="262"/>
        <v>0</v>
      </c>
      <c r="S187" s="36">
        <f t="shared" si="263"/>
        <v>100</v>
      </c>
      <c r="T187" s="33">
        <f t="shared" si="232"/>
        <v>0</v>
      </c>
      <c r="Y187" s="219">
        <f t="shared" si="225"/>
        <v>0</v>
      </c>
    </row>
    <row r="188" spans="1:25" customFormat="1" ht="12.75" x14ac:dyDescent="0.2">
      <c r="A188" s="48" t="s">
        <v>429</v>
      </c>
      <c r="B188" s="68"/>
      <c r="C188" s="48" t="s">
        <v>430</v>
      </c>
      <c r="D188" s="50"/>
      <c r="E188" s="79" t="s">
        <v>445</v>
      </c>
      <c r="F188" s="66"/>
      <c r="G188" s="66"/>
      <c r="H188" s="66"/>
      <c r="I188" s="66"/>
      <c r="J188" s="67" t="s">
        <v>445</v>
      </c>
      <c r="K188" s="69"/>
      <c r="L188" s="84">
        <f>SUM(L189:L190)</f>
        <v>16961.400000000001</v>
      </c>
      <c r="M188" s="84">
        <f t="shared" ref="M188:P188" si="373">SUM(M189:M190)</f>
        <v>0</v>
      </c>
      <c r="N188" s="84">
        <f t="shared" si="373"/>
        <v>0</v>
      </c>
      <c r="O188" s="84">
        <f t="shared" si="373"/>
        <v>0</v>
      </c>
      <c r="P188" s="84">
        <f t="shared" si="373"/>
        <v>16961.400000000001</v>
      </c>
      <c r="Q188" s="84">
        <f t="shared" si="261"/>
        <v>0</v>
      </c>
      <c r="R188" s="84">
        <f t="shared" si="262"/>
        <v>0</v>
      </c>
      <c r="S188" s="54">
        <f t="shared" si="263"/>
        <v>100</v>
      </c>
      <c r="T188" s="33">
        <f t="shared" si="232"/>
        <v>0</v>
      </c>
      <c r="Y188" s="219">
        <f t="shared" si="225"/>
        <v>0</v>
      </c>
    </row>
    <row r="189" spans="1:25" customFormat="1" ht="12.75" x14ac:dyDescent="0.2">
      <c r="A189" s="37" t="s">
        <v>431</v>
      </c>
      <c r="B189" s="38" t="s">
        <v>432</v>
      </c>
      <c r="C189" s="37" t="s">
        <v>433</v>
      </c>
      <c r="D189" s="39" t="s">
        <v>14</v>
      </c>
      <c r="E189" s="78">
        <v>20</v>
      </c>
      <c r="F189" s="45">
        <v>0</v>
      </c>
      <c r="G189" s="45"/>
      <c r="H189" s="45">
        <f t="shared" ref="H189" si="374">F189+G189</f>
        <v>0</v>
      </c>
      <c r="I189" s="44">
        <f t="shared" ref="I189" si="375">ROUND(E189-H189,2)</f>
        <v>20</v>
      </c>
      <c r="J189" s="44">
        <v>523.1</v>
      </c>
      <c r="K189" s="40">
        <f t="shared" ref="K189:K190" si="376">TRUNC(J189*1.2211,2)</f>
        <v>638.75</v>
      </c>
      <c r="L189" s="40">
        <f t="shared" ref="L189:L190" si="377">TRUNC(E189*K189,2)</f>
        <v>12775</v>
      </c>
      <c r="M189" s="82">
        <f t="shared" ref="M189" si="378">ROUND(F189*$K189,2)</f>
        <v>0</v>
      </c>
      <c r="N189" s="82">
        <f t="shared" ref="N189" si="379">ROUND(G189*$K189,2)</f>
        <v>0</v>
      </c>
      <c r="O189" s="82">
        <f t="shared" ref="O189" si="380">ROUND(H189*$K189,2)</f>
        <v>0</v>
      </c>
      <c r="P189" s="82">
        <f t="shared" ref="P189" si="381">ROUND(I189*$K189,2)</f>
        <v>12775</v>
      </c>
      <c r="Q189" s="82">
        <f t="shared" si="261"/>
        <v>0</v>
      </c>
      <c r="R189" s="82">
        <f t="shared" si="262"/>
        <v>0</v>
      </c>
      <c r="S189" s="36">
        <f t="shared" si="263"/>
        <v>100</v>
      </c>
      <c r="T189" s="33">
        <f t="shared" si="232"/>
        <v>0</v>
      </c>
      <c r="V189">
        <v>240284.79</v>
      </c>
      <c r="Y189" s="219">
        <f t="shared" si="225"/>
        <v>0</v>
      </c>
    </row>
    <row r="190" spans="1:25" customFormat="1" ht="25.5" x14ac:dyDescent="0.2">
      <c r="A190" s="37" t="s">
        <v>434</v>
      </c>
      <c r="B190" s="38" t="s">
        <v>435</v>
      </c>
      <c r="C190" s="37" t="s">
        <v>436</v>
      </c>
      <c r="D190" s="39" t="s">
        <v>29</v>
      </c>
      <c r="E190" s="78">
        <v>80</v>
      </c>
      <c r="F190" s="45">
        <v>0</v>
      </c>
      <c r="G190" s="45"/>
      <c r="H190" s="45">
        <f t="shared" ref="H190" si="382">F190+G190</f>
        <v>0</v>
      </c>
      <c r="I190" s="44">
        <f t="shared" ref="I190" si="383">ROUND(E190-H190,2)</f>
        <v>80</v>
      </c>
      <c r="J190" s="44">
        <v>42.86</v>
      </c>
      <c r="K190" s="40">
        <f t="shared" si="376"/>
        <v>52.33</v>
      </c>
      <c r="L190" s="40">
        <f t="shared" si="377"/>
        <v>4186.3999999999996</v>
      </c>
      <c r="M190" s="82">
        <f t="shared" ref="M190" si="384">ROUND(F190*$K190,2)</f>
        <v>0</v>
      </c>
      <c r="N190" s="82">
        <f t="shared" ref="N190" si="385">ROUND(G190*$K190,2)</f>
        <v>0</v>
      </c>
      <c r="O190" s="82">
        <f t="shared" ref="O190" si="386">ROUND(H190*$K190,2)</f>
        <v>0</v>
      </c>
      <c r="P190" s="82">
        <f t="shared" ref="P190" si="387">ROUND(I190*$K190,2)</f>
        <v>4186.3999999999996</v>
      </c>
      <c r="Q190" s="82">
        <f t="shared" si="261"/>
        <v>0</v>
      </c>
      <c r="R190" s="82">
        <f t="shared" si="262"/>
        <v>0</v>
      </c>
      <c r="S190" s="36">
        <f t="shared" si="263"/>
        <v>100</v>
      </c>
      <c r="T190" s="33">
        <f t="shared" si="232"/>
        <v>0</v>
      </c>
      <c r="Y190" s="219">
        <f t="shared" si="225"/>
        <v>0</v>
      </c>
    </row>
    <row r="191" spans="1:25" customFormat="1" ht="12.75" x14ac:dyDescent="0.2">
      <c r="A191" s="55" t="s">
        <v>80</v>
      </c>
      <c r="B191" s="64"/>
      <c r="C191" s="55" t="s">
        <v>437</v>
      </c>
      <c r="D191" s="57"/>
      <c r="E191" s="80" t="s">
        <v>445</v>
      </c>
      <c r="F191" s="62"/>
      <c r="G191" s="62"/>
      <c r="H191" s="62"/>
      <c r="I191" s="62"/>
      <c r="J191" s="63" t="s">
        <v>445</v>
      </c>
      <c r="K191" s="65"/>
      <c r="L191" s="60">
        <f>L192+L196</f>
        <v>254083.18999999997</v>
      </c>
      <c r="M191" s="83">
        <f t="shared" ref="M191:P191" si="388">M192+M196</f>
        <v>85574.639999999985</v>
      </c>
      <c r="N191" s="83" t="e">
        <f t="shared" si="388"/>
        <v>#REF!</v>
      </c>
      <c r="O191" s="83" t="e">
        <f t="shared" si="388"/>
        <v>#REF!</v>
      </c>
      <c r="P191" s="83" t="e">
        <f t="shared" si="388"/>
        <v>#REF!</v>
      </c>
      <c r="Q191" s="83" t="e">
        <f t="shared" si="261"/>
        <v>#REF!</v>
      </c>
      <c r="R191" s="83" t="e">
        <f t="shared" si="262"/>
        <v>#REF!</v>
      </c>
      <c r="S191" s="61" t="e">
        <f t="shared" si="263"/>
        <v>#REF!</v>
      </c>
      <c r="T191" s="33" t="e">
        <f t="shared" si="232"/>
        <v>#REF!</v>
      </c>
      <c r="U191" s="93">
        <f>(L192/U192)</f>
        <v>2.5824198747875893E-2</v>
      </c>
      <c r="V191" s="92" t="e">
        <f>N207*U191</f>
        <v>#REF!</v>
      </c>
      <c r="Y191" s="219" t="e">
        <f t="shared" si="225"/>
        <v>#REF!</v>
      </c>
    </row>
    <row r="192" spans="1:25" customFormat="1" ht="12.75" x14ac:dyDescent="0.2">
      <c r="A192" s="48" t="s">
        <v>81</v>
      </c>
      <c r="B192" s="68"/>
      <c r="C192" s="48" t="s">
        <v>438</v>
      </c>
      <c r="D192" s="50"/>
      <c r="E192" s="79" t="s">
        <v>445</v>
      </c>
      <c r="F192" s="66"/>
      <c r="G192" s="66"/>
      <c r="H192" s="66"/>
      <c r="I192" s="66"/>
      <c r="J192" s="67" t="s">
        <v>445</v>
      </c>
      <c r="K192" s="69"/>
      <c r="L192" s="53">
        <f>SUM(L193:L195)</f>
        <v>240284.78999999998</v>
      </c>
      <c r="M192" s="84">
        <f t="shared" ref="M192:P192" si="389">SUM(M193:M195)</f>
        <v>78675.439999999988</v>
      </c>
      <c r="N192" s="84" t="e">
        <f>SUM(N193:N195)</f>
        <v>#REF!</v>
      </c>
      <c r="O192" s="84" t="e">
        <f t="shared" si="389"/>
        <v>#REF!</v>
      </c>
      <c r="P192" s="84" t="e">
        <f t="shared" si="389"/>
        <v>#REF!</v>
      </c>
      <c r="Q192" s="84" t="e">
        <f t="shared" si="261"/>
        <v>#REF!</v>
      </c>
      <c r="R192" s="84" t="e">
        <f t="shared" si="262"/>
        <v>#REF!</v>
      </c>
      <c r="S192" s="54" t="e">
        <f t="shared" si="263"/>
        <v>#REF!</v>
      </c>
      <c r="T192" s="33" t="e">
        <f t="shared" si="232"/>
        <v>#REF!</v>
      </c>
      <c r="U192" s="97">
        <v>9304636.8000000007</v>
      </c>
      <c r="Y192" s="219" t="e">
        <f t="shared" si="225"/>
        <v>#REF!</v>
      </c>
    </row>
    <row r="193" spans="1:25" customFormat="1" ht="12.75" x14ac:dyDescent="0.2">
      <c r="A193" s="37" t="s">
        <v>82</v>
      </c>
      <c r="B193" s="43"/>
      <c r="C193" s="37" t="s">
        <v>439</v>
      </c>
      <c r="D193" s="39" t="s">
        <v>22</v>
      </c>
      <c r="E193" s="78">
        <v>1</v>
      </c>
      <c r="F193" s="45">
        <v>0.32742338983575558</v>
      </c>
      <c r="G193" s="44" t="e">
        <f>#REF!</f>
        <v>#REF!</v>
      </c>
      <c r="H193" s="45" t="e">
        <f t="shared" ref="H193" si="390">F193+G193</f>
        <v>#REF!</v>
      </c>
      <c r="I193" s="44" t="e">
        <f t="shared" ref="I193" si="391">ROUND(E193-H193,2)</f>
        <v>#REF!</v>
      </c>
      <c r="J193" s="44">
        <v>188348</v>
      </c>
      <c r="K193" s="40">
        <f t="shared" ref="K193:K195" si="392">TRUNC(J193*1.2211,2)</f>
        <v>229991.74</v>
      </c>
      <c r="L193" s="40">
        <f t="shared" ref="L193:L195" si="393">TRUNC(E193*K193,2)</f>
        <v>229991.74</v>
      </c>
      <c r="M193" s="82">
        <f t="shared" ref="M193:N195" si="394">ROUND(F193*$K193,2)</f>
        <v>75304.679999999993</v>
      </c>
      <c r="N193" s="82" t="e">
        <f t="shared" si="394"/>
        <v>#REF!</v>
      </c>
      <c r="O193" s="82" t="e">
        <f>M193+N193</f>
        <v>#REF!</v>
      </c>
      <c r="P193" s="82" t="e">
        <f t="shared" ref="P193" si="395">ROUND(I193*$K193,2)</f>
        <v>#REF!</v>
      </c>
      <c r="Q193" s="82" t="e">
        <f t="shared" si="261"/>
        <v>#REF!</v>
      </c>
      <c r="R193" s="82" t="e">
        <f t="shared" si="262"/>
        <v>#REF!</v>
      </c>
      <c r="S193" s="36" t="e">
        <f t="shared" si="263"/>
        <v>#REF!</v>
      </c>
      <c r="T193" s="33" t="e">
        <f t="shared" si="232"/>
        <v>#REF!</v>
      </c>
      <c r="V193" s="94" t="e">
        <f>V191/V189</f>
        <v>#REF!</v>
      </c>
      <c r="Y193" s="219" t="e">
        <f t="shared" si="225"/>
        <v>#REF!</v>
      </c>
    </row>
    <row r="194" spans="1:25" customFormat="1" ht="12.75" x14ac:dyDescent="0.2">
      <c r="A194" s="37" t="s">
        <v>83</v>
      </c>
      <c r="B194" s="43"/>
      <c r="C194" s="37" t="s">
        <v>21</v>
      </c>
      <c r="D194" s="39" t="s">
        <v>22</v>
      </c>
      <c r="E194" s="78">
        <v>1</v>
      </c>
      <c r="F194" s="45">
        <v>0.32747988983575554</v>
      </c>
      <c r="G194" s="44" t="e">
        <f>G193</f>
        <v>#REF!</v>
      </c>
      <c r="H194" s="45" t="e">
        <f t="shared" ref="H194:H197" si="396">F194+G194</f>
        <v>#REF!</v>
      </c>
      <c r="I194" s="44" t="e">
        <f t="shared" ref="I194:I195" si="397">ROUND(E194-H194,2)</f>
        <v>#REF!</v>
      </c>
      <c r="J194" s="44">
        <v>5309.33</v>
      </c>
      <c r="K194" s="40">
        <f t="shared" si="392"/>
        <v>6483.22</v>
      </c>
      <c r="L194" s="40">
        <f t="shared" si="393"/>
        <v>6483.22</v>
      </c>
      <c r="M194" s="82">
        <f t="shared" ref="M194:M195" si="398">ROUND(F194*$K194,2)</f>
        <v>2123.12</v>
      </c>
      <c r="N194" s="82" t="e">
        <f t="shared" si="394"/>
        <v>#REF!</v>
      </c>
      <c r="O194" s="82" t="e">
        <f>M194+N194</f>
        <v>#REF!</v>
      </c>
      <c r="P194" s="82" t="e">
        <f t="shared" ref="P194:P195" si="399">ROUND(I194*$K194,2)</f>
        <v>#REF!</v>
      </c>
      <c r="Q194" s="82" t="e">
        <f t="shared" si="261"/>
        <v>#REF!</v>
      </c>
      <c r="R194" s="82" t="e">
        <f t="shared" si="262"/>
        <v>#REF!</v>
      </c>
      <c r="S194" s="36" t="e">
        <f t="shared" si="263"/>
        <v>#REF!</v>
      </c>
      <c r="T194" s="33" t="e">
        <f t="shared" si="232"/>
        <v>#REF!</v>
      </c>
      <c r="Y194" s="219" t="e">
        <f t="shared" si="225"/>
        <v>#REF!</v>
      </c>
    </row>
    <row r="195" spans="1:25" customFormat="1" ht="12.75" x14ac:dyDescent="0.2">
      <c r="A195" s="37" t="s">
        <v>84</v>
      </c>
      <c r="B195" s="43"/>
      <c r="C195" s="37" t="s">
        <v>440</v>
      </c>
      <c r="D195" s="39" t="s">
        <v>22</v>
      </c>
      <c r="E195" s="78">
        <v>1</v>
      </c>
      <c r="F195" s="45">
        <v>0.32747988983575554</v>
      </c>
      <c r="G195" s="44" t="e">
        <f>G194</f>
        <v>#REF!</v>
      </c>
      <c r="H195" s="45" t="e">
        <f t="shared" si="396"/>
        <v>#REF!</v>
      </c>
      <c r="I195" s="44" t="e">
        <f t="shared" si="397"/>
        <v>#REF!</v>
      </c>
      <c r="J195" s="44">
        <v>3120</v>
      </c>
      <c r="K195" s="40">
        <f t="shared" si="392"/>
        <v>3809.83</v>
      </c>
      <c r="L195" s="40">
        <f t="shared" si="393"/>
        <v>3809.83</v>
      </c>
      <c r="M195" s="82">
        <f t="shared" si="398"/>
        <v>1247.6400000000001</v>
      </c>
      <c r="N195" s="82" t="e">
        <f t="shared" si="394"/>
        <v>#REF!</v>
      </c>
      <c r="O195" s="82" t="e">
        <f>M195+N195</f>
        <v>#REF!</v>
      </c>
      <c r="P195" s="82" t="e">
        <f t="shared" si="399"/>
        <v>#REF!</v>
      </c>
      <c r="Q195" s="82" t="e">
        <f t="shared" si="261"/>
        <v>#REF!</v>
      </c>
      <c r="R195" s="82" t="e">
        <f t="shared" si="262"/>
        <v>#REF!</v>
      </c>
      <c r="S195" s="36" t="e">
        <f t="shared" si="263"/>
        <v>#REF!</v>
      </c>
      <c r="T195" s="33" t="e">
        <f t="shared" si="232"/>
        <v>#REF!</v>
      </c>
      <c r="Y195" s="219" t="e">
        <f t="shared" si="225"/>
        <v>#REF!</v>
      </c>
    </row>
    <row r="196" spans="1:25" customFormat="1" ht="12.75" x14ac:dyDescent="0.2">
      <c r="A196" s="48" t="s">
        <v>441</v>
      </c>
      <c r="B196" s="68"/>
      <c r="C196" s="48" t="s">
        <v>442</v>
      </c>
      <c r="D196" s="50"/>
      <c r="E196" s="79" t="s">
        <v>445</v>
      </c>
      <c r="F196" s="66"/>
      <c r="G196" s="66"/>
      <c r="H196" s="66"/>
      <c r="I196" s="66"/>
      <c r="J196" s="67" t="s">
        <v>445</v>
      </c>
      <c r="K196" s="69"/>
      <c r="L196" s="84">
        <f>L197</f>
        <v>13798.4</v>
      </c>
      <c r="M196" s="84">
        <f t="shared" ref="M196:P196" si="400">M197</f>
        <v>6899.2</v>
      </c>
      <c r="N196" s="84">
        <f t="shared" si="400"/>
        <v>0</v>
      </c>
      <c r="O196" s="84">
        <f t="shared" si="400"/>
        <v>6899.2</v>
      </c>
      <c r="P196" s="84">
        <f t="shared" si="400"/>
        <v>6899.2</v>
      </c>
      <c r="Q196" s="84">
        <f t="shared" si="261"/>
        <v>0</v>
      </c>
      <c r="R196" s="84">
        <f t="shared" si="262"/>
        <v>50</v>
      </c>
      <c r="S196" s="54">
        <f t="shared" si="263"/>
        <v>50</v>
      </c>
      <c r="T196" s="33">
        <f t="shared" si="232"/>
        <v>6899.2</v>
      </c>
      <c r="Y196" s="219">
        <f t="shared" si="225"/>
        <v>0.5</v>
      </c>
    </row>
    <row r="197" spans="1:25" customFormat="1" ht="12.75" x14ac:dyDescent="0.2">
      <c r="A197" s="41" t="s">
        <v>443</v>
      </c>
      <c r="B197" s="41"/>
      <c r="C197" s="41" t="s">
        <v>444</v>
      </c>
      <c r="D197" s="39" t="s">
        <v>226</v>
      </c>
      <c r="E197" s="78">
        <v>1</v>
      </c>
      <c r="F197" s="45">
        <v>0.5</v>
      </c>
      <c r="G197" s="45"/>
      <c r="H197" s="45">
        <f t="shared" si="396"/>
        <v>0.5</v>
      </c>
      <c r="I197" s="44">
        <f t="shared" ref="I197" si="401">ROUND(E197-H197,2)</f>
        <v>0.5</v>
      </c>
      <c r="J197" s="44">
        <v>11299.98</v>
      </c>
      <c r="K197" s="40">
        <f>TRUNC(J197*1.2211,2)</f>
        <v>13798.4</v>
      </c>
      <c r="L197" s="40">
        <f>TRUNC(E197*K197,2)</f>
        <v>13798.4</v>
      </c>
      <c r="M197" s="82">
        <f t="shared" ref="M197" si="402">ROUND(F197*$K197,2)</f>
        <v>6899.2</v>
      </c>
      <c r="N197" s="82">
        <f t="shared" ref="N197" si="403">ROUND(G197*$K197,2)</f>
        <v>0</v>
      </c>
      <c r="O197" s="82">
        <f t="shared" ref="O197" si="404">ROUND(H197*$K197,2)</f>
        <v>6899.2</v>
      </c>
      <c r="P197" s="82">
        <f t="shared" ref="P197" si="405">ROUND(I197*$K197,2)</f>
        <v>6899.2</v>
      </c>
      <c r="Q197" s="82">
        <f t="shared" si="261"/>
        <v>0</v>
      </c>
      <c r="R197" s="82">
        <f t="shared" si="262"/>
        <v>50</v>
      </c>
      <c r="S197" s="36">
        <f t="shared" si="263"/>
        <v>50</v>
      </c>
      <c r="T197" s="33">
        <f t="shared" si="232"/>
        <v>6899.2</v>
      </c>
      <c r="U197" s="92" t="e">
        <f>N12-N191</f>
        <v>#REF!</v>
      </c>
      <c r="Y197" s="219">
        <f t="shared" si="225"/>
        <v>0.5</v>
      </c>
    </row>
    <row r="198" spans="1:25" customFormat="1" ht="12.75" x14ac:dyDescent="0.2">
      <c r="A198" s="95" t="s">
        <v>461</v>
      </c>
      <c r="B198" s="64"/>
      <c r="C198" s="55" t="s">
        <v>462</v>
      </c>
      <c r="D198" s="57"/>
      <c r="E198" s="80"/>
      <c r="F198" s="62"/>
      <c r="G198" s="62"/>
      <c r="H198" s="62"/>
      <c r="I198" s="62"/>
      <c r="J198" s="63"/>
      <c r="K198" s="65"/>
      <c r="L198" s="83">
        <f>L199+L203</f>
        <v>2983569.2499999995</v>
      </c>
      <c r="M198" s="83">
        <f t="shared" ref="M198:P198" si="406">M199+M203</f>
        <v>795870.80999999994</v>
      </c>
      <c r="N198" s="83" t="e">
        <f t="shared" si="406"/>
        <v>#REF!</v>
      </c>
      <c r="O198" s="83" t="e">
        <f t="shared" si="406"/>
        <v>#REF!</v>
      </c>
      <c r="P198" s="83" t="e">
        <f t="shared" si="406"/>
        <v>#REF!</v>
      </c>
      <c r="Q198" s="83" t="e">
        <f t="shared" si="261"/>
        <v>#REF!</v>
      </c>
      <c r="R198" s="83" t="e">
        <f t="shared" si="262"/>
        <v>#REF!</v>
      </c>
      <c r="S198" s="61" t="e">
        <f t="shared" si="263"/>
        <v>#REF!</v>
      </c>
      <c r="T198" s="33"/>
      <c r="Y198" s="219" t="e">
        <f t="shared" si="225"/>
        <v>#REF!</v>
      </c>
    </row>
    <row r="199" spans="1:25" customFormat="1" ht="12.75" x14ac:dyDescent="0.2">
      <c r="A199" s="48" t="s">
        <v>472</v>
      </c>
      <c r="B199" s="68"/>
      <c r="C199" s="48" t="s">
        <v>463</v>
      </c>
      <c r="D199" s="50"/>
      <c r="E199" s="79"/>
      <c r="F199" s="66"/>
      <c r="G199" s="66"/>
      <c r="H199" s="66"/>
      <c r="I199" s="66"/>
      <c r="J199" s="67"/>
      <c r="K199" s="69"/>
      <c r="L199" s="84">
        <f>SUM(L200:L202)</f>
        <v>2813004.3899999997</v>
      </c>
      <c r="M199" s="84">
        <f t="shared" ref="M199:P199" si="407">SUM(M200:M202)</f>
        <v>750621.91999999993</v>
      </c>
      <c r="N199" s="84" t="e">
        <f t="shared" si="407"/>
        <v>#REF!</v>
      </c>
      <c r="O199" s="84" t="e">
        <f t="shared" si="407"/>
        <v>#REF!</v>
      </c>
      <c r="P199" s="84" t="e">
        <f t="shared" si="407"/>
        <v>#REF!</v>
      </c>
      <c r="Q199" s="84" t="e">
        <f t="shared" si="261"/>
        <v>#REF!</v>
      </c>
      <c r="R199" s="84" t="e">
        <f t="shared" si="262"/>
        <v>#REF!</v>
      </c>
      <c r="S199" s="84" t="e">
        <f t="shared" si="263"/>
        <v>#REF!</v>
      </c>
      <c r="T199" s="33"/>
      <c r="Y199" s="219" t="e">
        <f t="shared" si="225"/>
        <v>#REF!</v>
      </c>
    </row>
    <row r="200" spans="1:25" customFormat="1" ht="25.5" x14ac:dyDescent="0.2">
      <c r="A200" s="37" t="s">
        <v>473</v>
      </c>
      <c r="B200" s="41"/>
      <c r="C200" s="41" t="s">
        <v>464</v>
      </c>
      <c r="D200" s="39" t="s">
        <v>467</v>
      </c>
      <c r="E200" s="78">
        <v>72.91</v>
      </c>
      <c r="F200" s="45">
        <v>43.03</v>
      </c>
      <c r="G200" s="45" t="e">
        <f>#REF!</f>
        <v>#REF!</v>
      </c>
      <c r="H200" s="96" t="e">
        <f t="shared" ref="H200:H202" si="408">F200+G200</f>
        <v>#REF!</v>
      </c>
      <c r="I200" s="44" t="e">
        <f t="shared" ref="I200:I202" si="409">ROUND(E200-H200,2)</f>
        <v>#REF!</v>
      </c>
      <c r="J200" s="44"/>
      <c r="K200" s="40">
        <v>5054.26</v>
      </c>
      <c r="L200" s="40">
        <f>TRUNC(E200*K200,2)</f>
        <v>368506.09</v>
      </c>
      <c r="M200" s="82">
        <f t="shared" ref="M200:P202" si="410">ROUND(F200*$K200,2)</f>
        <v>217484.81</v>
      </c>
      <c r="N200" s="82" t="e">
        <f t="shared" si="410"/>
        <v>#REF!</v>
      </c>
      <c r="O200" s="82" t="e">
        <f t="shared" si="410"/>
        <v>#REF!</v>
      </c>
      <c r="P200" s="82" t="e">
        <f t="shared" si="410"/>
        <v>#REF!</v>
      </c>
      <c r="Q200" s="82" t="e">
        <f t="shared" si="261"/>
        <v>#REF!</v>
      </c>
      <c r="R200" s="82" t="e">
        <f t="shared" si="262"/>
        <v>#REF!</v>
      </c>
      <c r="S200" s="36" t="e">
        <f t="shared" si="263"/>
        <v>#REF!</v>
      </c>
      <c r="T200" s="33"/>
      <c r="U200" s="92">
        <f>L207-L192</f>
        <v>12047921.260000002</v>
      </c>
      <c r="Y200" s="219" t="e">
        <f t="shared" si="225"/>
        <v>#REF!</v>
      </c>
    </row>
    <row r="201" spans="1:25" customFormat="1" ht="25.5" x14ac:dyDescent="0.2">
      <c r="A201" s="37" t="s">
        <v>474</v>
      </c>
      <c r="B201" s="41"/>
      <c r="C201" s="41" t="s">
        <v>465</v>
      </c>
      <c r="D201" s="39" t="s">
        <v>87</v>
      </c>
      <c r="E201" s="78">
        <v>25406.33</v>
      </c>
      <c r="F201" s="45">
        <v>0</v>
      </c>
      <c r="G201" s="45"/>
      <c r="H201" s="96">
        <f t="shared" si="408"/>
        <v>0</v>
      </c>
      <c r="I201" s="44">
        <f t="shared" si="409"/>
        <v>25406.33</v>
      </c>
      <c r="J201" s="44"/>
      <c r="K201" s="40">
        <v>4.2300000000000004</v>
      </c>
      <c r="L201" s="40">
        <f t="shared" ref="L201:L202" si="411">TRUNC(E201*K201,2)</f>
        <v>107468.77</v>
      </c>
      <c r="M201" s="82">
        <f t="shared" si="410"/>
        <v>0</v>
      </c>
      <c r="N201" s="82">
        <f t="shared" si="410"/>
        <v>0</v>
      </c>
      <c r="O201" s="82">
        <f t="shared" si="410"/>
        <v>0</v>
      </c>
      <c r="P201" s="82">
        <f t="shared" si="410"/>
        <v>107468.78</v>
      </c>
      <c r="Q201" s="82">
        <f t="shared" si="261"/>
        <v>0</v>
      </c>
      <c r="R201" s="82">
        <f t="shared" si="262"/>
        <v>0</v>
      </c>
      <c r="S201" s="36">
        <f t="shared" si="263"/>
        <v>100.0000093050288</v>
      </c>
      <c r="T201" s="33"/>
      <c r="Y201" s="219">
        <f t="shared" si="225"/>
        <v>0</v>
      </c>
    </row>
    <row r="202" spans="1:25" customFormat="1" ht="25.5" x14ac:dyDescent="0.2">
      <c r="A202" s="37" t="s">
        <v>475</v>
      </c>
      <c r="B202" s="41"/>
      <c r="C202" s="41" t="s">
        <v>466</v>
      </c>
      <c r="D202" s="39" t="s">
        <v>467</v>
      </c>
      <c r="E202" s="78">
        <v>456.02</v>
      </c>
      <c r="F202" s="45">
        <v>104.03</v>
      </c>
      <c r="G202" s="45" t="e">
        <f>#REF!</f>
        <v>#REF!</v>
      </c>
      <c r="H202" s="96" t="e">
        <f t="shared" si="408"/>
        <v>#REF!</v>
      </c>
      <c r="I202" s="44" t="e">
        <f t="shared" si="409"/>
        <v>#REF!</v>
      </c>
      <c r="J202" s="44"/>
      <c r="K202" s="40">
        <v>5124.84</v>
      </c>
      <c r="L202" s="40">
        <f t="shared" si="411"/>
        <v>2337029.5299999998</v>
      </c>
      <c r="M202" s="82">
        <f t="shared" si="410"/>
        <v>533137.11</v>
      </c>
      <c r="N202" s="82" t="e">
        <f t="shared" si="410"/>
        <v>#REF!</v>
      </c>
      <c r="O202" s="82" t="e">
        <f t="shared" si="410"/>
        <v>#REF!</v>
      </c>
      <c r="P202" s="82" t="e">
        <f t="shared" si="410"/>
        <v>#REF!</v>
      </c>
      <c r="Q202" s="82" t="e">
        <f t="shared" si="261"/>
        <v>#REF!</v>
      </c>
      <c r="R202" s="82" t="e">
        <f t="shared" si="262"/>
        <v>#REF!</v>
      </c>
      <c r="S202" s="36" t="e">
        <f t="shared" si="263"/>
        <v>#REF!</v>
      </c>
      <c r="T202" s="33"/>
      <c r="Y202" s="219" t="e">
        <f t="shared" si="225"/>
        <v>#REF!</v>
      </c>
    </row>
    <row r="203" spans="1:25" customFormat="1" ht="12.75" x14ac:dyDescent="0.2">
      <c r="A203" s="48" t="s">
        <v>476</v>
      </c>
      <c r="B203" s="68"/>
      <c r="C203" s="48" t="s">
        <v>468</v>
      </c>
      <c r="D203" s="50"/>
      <c r="E203" s="79"/>
      <c r="F203" s="66"/>
      <c r="G203" s="66"/>
      <c r="H203" s="66"/>
      <c r="I203" s="66"/>
      <c r="J203" s="67"/>
      <c r="K203" s="69"/>
      <c r="L203" s="84">
        <f>SUM(L204:L206)</f>
        <v>170564.86000000002</v>
      </c>
      <c r="M203" s="84">
        <f t="shared" ref="M203:P203" si="412">SUM(M204:M206)</f>
        <v>45248.89</v>
      </c>
      <c r="N203" s="84" t="e">
        <f t="shared" si="412"/>
        <v>#REF!</v>
      </c>
      <c r="O203" s="84" t="e">
        <f t="shared" si="412"/>
        <v>#REF!</v>
      </c>
      <c r="P203" s="84" t="e">
        <f t="shared" si="412"/>
        <v>#REF!</v>
      </c>
      <c r="Q203" s="84" t="e">
        <f t="shared" si="261"/>
        <v>#REF!</v>
      </c>
      <c r="R203" s="84" t="e">
        <f t="shared" si="262"/>
        <v>#REF!</v>
      </c>
      <c r="S203" s="84" t="e">
        <f t="shared" si="263"/>
        <v>#REF!</v>
      </c>
      <c r="T203" s="33"/>
      <c r="Y203" s="219" t="e">
        <f t="shared" si="225"/>
        <v>#REF!</v>
      </c>
    </row>
    <row r="204" spans="1:25" customFormat="1" ht="12.75" x14ac:dyDescent="0.2">
      <c r="A204" s="41" t="s">
        <v>477</v>
      </c>
      <c r="B204" s="41"/>
      <c r="C204" s="41" t="s">
        <v>469</v>
      </c>
      <c r="D204" s="39" t="s">
        <v>467</v>
      </c>
      <c r="E204" s="78">
        <v>72.91</v>
      </c>
      <c r="F204" s="45">
        <v>43.03</v>
      </c>
      <c r="G204" s="45" t="e">
        <f>G200</f>
        <v>#REF!</v>
      </c>
      <c r="H204" s="96" t="e">
        <f t="shared" ref="H204" si="413">F204+G204</f>
        <v>#REF!</v>
      </c>
      <c r="I204" s="44" t="e">
        <f t="shared" ref="I204" si="414">ROUND(E204-H204,2)</f>
        <v>#REF!</v>
      </c>
      <c r="J204" s="44"/>
      <c r="K204" s="40">
        <v>307.69</v>
      </c>
      <c r="L204" s="40">
        <f t="shared" ref="L204" si="415">TRUNC(E204*K204,2)</f>
        <v>22433.67</v>
      </c>
      <c r="M204" s="82">
        <f t="shared" ref="M204" si="416">ROUND(F204*$K204,2)</f>
        <v>13239.9</v>
      </c>
      <c r="N204" s="82" t="e">
        <f t="shared" ref="N204" si="417">ROUND(G204*$K204,2)</f>
        <v>#REF!</v>
      </c>
      <c r="O204" s="82" t="e">
        <f t="shared" ref="O204" si="418">ROUND(H204*$K204,2)</f>
        <v>#REF!</v>
      </c>
      <c r="P204" s="82" t="e">
        <f t="shared" ref="P204" si="419">ROUND(I204*$K204,2)</f>
        <v>#REF!</v>
      </c>
      <c r="Q204" s="82" t="e">
        <f t="shared" si="261"/>
        <v>#REF!</v>
      </c>
      <c r="R204" s="82" t="e">
        <f t="shared" si="262"/>
        <v>#REF!</v>
      </c>
      <c r="S204" s="36" t="e">
        <f t="shared" si="263"/>
        <v>#REF!</v>
      </c>
      <c r="T204" s="33"/>
      <c r="Y204" s="219" t="e">
        <f t="shared" si="225"/>
        <v>#REF!</v>
      </c>
    </row>
    <row r="205" spans="1:25" customFormat="1" ht="12.75" x14ac:dyDescent="0.2">
      <c r="A205" s="41" t="s">
        <v>478</v>
      </c>
      <c r="B205" s="41"/>
      <c r="C205" s="41" t="s">
        <v>470</v>
      </c>
      <c r="D205" s="39" t="s">
        <v>467</v>
      </c>
      <c r="E205" s="78">
        <v>25.41</v>
      </c>
      <c r="F205" s="45">
        <v>0</v>
      </c>
      <c r="G205" s="45"/>
      <c r="H205" s="96">
        <f t="shared" ref="H205:H206" si="420">F205+G205</f>
        <v>0</v>
      </c>
      <c r="I205" s="44">
        <f t="shared" ref="I205:I206" si="421">ROUND(E205-H205,2)</f>
        <v>25.41</v>
      </c>
      <c r="J205" s="44"/>
      <c r="K205" s="40">
        <v>307.69</v>
      </c>
      <c r="L205" s="40">
        <f t="shared" ref="L205:L206" si="422">TRUNC(E205*K205,2)</f>
        <v>7818.4</v>
      </c>
      <c r="M205" s="82">
        <f t="shared" ref="M205:M206" si="423">ROUND(F205*$K205,2)</f>
        <v>0</v>
      </c>
      <c r="N205" s="82">
        <f t="shared" ref="N205:N206" si="424">ROUND(G205*$K205,2)</f>
        <v>0</v>
      </c>
      <c r="O205" s="82">
        <f t="shared" ref="O205:O206" si="425">ROUND(H205*$K205,2)</f>
        <v>0</v>
      </c>
      <c r="P205" s="82">
        <f t="shared" ref="P205:P206" si="426">ROUND(I205*$K205,2)</f>
        <v>7818.4</v>
      </c>
      <c r="Q205" s="82">
        <f t="shared" si="261"/>
        <v>0</v>
      </c>
      <c r="R205" s="82">
        <f t="shared" si="262"/>
        <v>0</v>
      </c>
      <c r="S205" s="36">
        <f t="shared" si="263"/>
        <v>100</v>
      </c>
      <c r="T205" s="33"/>
      <c r="Y205" s="219">
        <f t="shared" ref="Y205:Y207" si="427">O205/L205</f>
        <v>0</v>
      </c>
    </row>
    <row r="206" spans="1:25" customFormat="1" ht="12.75" x14ac:dyDescent="0.2">
      <c r="A206" s="41" t="s">
        <v>479</v>
      </c>
      <c r="B206" s="41"/>
      <c r="C206" s="41" t="s">
        <v>471</v>
      </c>
      <c r="D206" s="39" t="s">
        <v>467</v>
      </c>
      <c r="E206" s="78">
        <v>456.02</v>
      </c>
      <c r="F206" s="45">
        <v>104.03</v>
      </c>
      <c r="G206" s="45" t="e">
        <f>G202</f>
        <v>#REF!</v>
      </c>
      <c r="H206" s="96" t="e">
        <f t="shared" si="420"/>
        <v>#REF!</v>
      </c>
      <c r="I206" s="44" t="e">
        <f t="shared" si="421"/>
        <v>#REF!</v>
      </c>
      <c r="J206" s="44"/>
      <c r="K206" s="40">
        <v>307.69</v>
      </c>
      <c r="L206" s="40">
        <f t="shared" si="422"/>
        <v>140312.79</v>
      </c>
      <c r="M206" s="82">
        <f t="shared" si="423"/>
        <v>32008.99</v>
      </c>
      <c r="N206" s="82" t="e">
        <f t="shared" si="424"/>
        <v>#REF!</v>
      </c>
      <c r="O206" s="82" t="e">
        <f t="shared" si="425"/>
        <v>#REF!</v>
      </c>
      <c r="P206" s="82" t="e">
        <f t="shared" si="426"/>
        <v>#REF!</v>
      </c>
      <c r="Q206" s="82" t="e">
        <f t="shared" si="261"/>
        <v>#REF!</v>
      </c>
      <c r="R206" s="82" t="e">
        <f t="shared" si="262"/>
        <v>#REF!</v>
      </c>
      <c r="S206" s="36" t="e">
        <f t="shared" si="263"/>
        <v>#REF!</v>
      </c>
      <c r="T206" s="33"/>
      <c r="Y206" s="219" t="e">
        <f t="shared" si="427"/>
        <v>#REF!</v>
      </c>
    </row>
    <row r="207" spans="1:25" s="6" customFormat="1" ht="12.75" x14ac:dyDescent="0.2">
      <c r="A207" s="226"/>
      <c r="B207" s="227"/>
      <c r="C207" s="228" t="s">
        <v>89</v>
      </c>
      <c r="D207" s="229"/>
      <c r="E207" s="229"/>
      <c r="F207" s="229"/>
      <c r="G207" s="229"/>
      <c r="H207" s="229"/>
      <c r="I207" s="229"/>
      <c r="J207" s="229"/>
      <c r="K207" s="261"/>
      <c r="L207" s="86">
        <f>L13+L23+L49+L61+L126+L159+L174+L191+L198</f>
        <v>12288206.050000001</v>
      </c>
      <c r="M207" s="86">
        <f t="shared" ref="M207:P207" si="428">M13+M23+M49+M61+M126+M159+M174+M191+M198</f>
        <v>5136667.5599999987</v>
      </c>
      <c r="N207" s="86" t="e">
        <f>N13+N23+N49+N61+N126+N159+N174+N191+N198</f>
        <v>#REF!</v>
      </c>
      <c r="O207" s="86" t="e">
        <f>O13+O23+O49+O61+O126+O159+O174+O191+O198</f>
        <v>#REF!</v>
      </c>
      <c r="P207" s="86" t="e">
        <f t="shared" si="428"/>
        <v>#REF!</v>
      </c>
      <c r="Q207" s="86" t="e">
        <f t="shared" si="261"/>
        <v>#REF!</v>
      </c>
      <c r="R207" s="86" t="e">
        <f t="shared" si="262"/>
        <v>#REF!</v>
      </c>
      <c r="S207" s="86" t="e">
        <f t="shared" si="263"/>
        <v>#REF!</v>
      </c>
      <c r="T207" s="33" t="e">
        <f t="shared" si="232"/>
        <v>#REF!</v>
      </c>
      <c r="Y207" s="219" t="e">
        <f t="shared" si="427"/>
        <v>#REF!</v>
      </c>
    </row>
    <row r="208" spans="1:25" ht="18" customHeight="1" x14ac:dyDescent="0.2">
      <c r="A208" s="230"/>
      <c r="B208" s="231"/>
      <c r="C208" s="231"/>
      <c r="D208" s="231"/>
      <c r="E208" s="231"/>
      <c r="F208" s="220"/>
      <c r="G208" s="220"/>
      <c r="H208" s="220"/>
      <c r="I208" s="220"/>
      <c r="J208" s="231"/>
      <c r="K208" s="231"/>
      <c r="L208" s="231"/>
      <c r="M208" s="220"/>
      <c r="N208" s="220"/>
      <c r="O208" s="220"/>
      <c r="P208" s="220"/>
      <c r="Q208" s="220"/>
      <c r="R208" s="220"/>
      <c r="S208" s="260"/>
    </row>
    <row r="213" spans="10:10" ht="12.75" x14ac:dyDescent="0.2">
      <c r="J213" s="5"/>
    </row>
  </sheetData>
  <autoFilter ref="A11:T208" xr:uid="{00000000-0001-0000-0000-000000000000}"/>
  <mergeCells count="16">
    <mergeCell ref="Q10:S10"/>
    <mergeCell ref="A10:A11"/>
    <mergeCell ref="U10:V10"/>
    <mergeCell ref="A208:S208"/>
    <mergeCell ref="A2:C3"/>
    <mergeCell ref="A7:S7"/>
    <mergeCell ref="C207:K207"/>
    <mergeCell ref="A5:J5"/>
    <mergeCell ref="B60:C60"/>
    <mergeCell ref="A207:B207"/>
    <mergeCell ref="E10:I10"/>
    <mergeCell ref="D10:D11"/>
    <mergeCell ref="K10:K11"/>
    <mergeCell ref="C10:C11"/>
    <mergeCell ref="B10:B11"/>
    <mergeCell ref="L10:P10"/>
  </mergeCells>
  <phoneticPr fontId="11" type="noConversion"/>
  <conditionalFormatting sqref="I13:I206">
    <cfRule type="cellIs" dxfId="14" priority="1" operator="lessThan">
      <formula>0</formula>
    </cfRule>
  </conditionalFormatting>
  <printOptions horizontalCentered="1"/>
  <pageMargins left="0.39370078740157483" right="0.39370078740157483" top="0.59055118110236227" bottom="0.78740157480314965" header="0.31496062992125984" footer="0.31496062992125984"/>
  <pageSetup paperSize="9" scale="38" fitToHeight="18" orientation="landscape" horizontalDpi="360" verticalDpi="360" r:id="rId1"/>
  <rowBreaks count="3" manualBreakCount="3">
    <brk id="60" max="18" man="1"/>
    <brk id="103" max="18" man="1"/>
    <brk id="158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3D33-24D9-44E7-BC2F-0186677CC0B0}">
  <sheetPr>
    <pageSetUpPr fitToPage="1"/>
  </sheetPr>
  <dimension ref="A1:Y38"/>
  <sheetViews>
    <sheetView showGridLines="0" view="pageBreakPreview" zoomScaleNormal="100" zoomScaleSheetLayoutView="100" workbookViewId="0">
      <selection activeCell="C6" sqref="C6:C7"/>
    </sheetView>
  </sheetViews>
  <sheetFormatPr defaultColWidth="9" defaultRowHeight="12" x14ac:dyDescent="0.2"/>
  <cols>
    <col min="1" max="1" width="15.33203125" style="346" customWidth="1"/>
    <col min="2" max="2" width="18.33203125" style="433" customWidth="1"/>
    <col min="3" max="3" width="99" style="346" customWidth="1"/>
    <col min="4" max="4" width="6.6640625" style="434" customWidth="1"/>
    <col min="5" max="5" width="16.1640625" style="435" customWidth="1"/>
    <col min="6" max="6" width="22" style="435" customWidth="1"/>
    <col min="7" max="7" width="16" style="435" customWidth="1"/>
    <col min="8" max="8" width="19.83203125" style="435" customWidth="1"/>
    <col min="9" max="9" width="13.6640625" style="435" customWidth="1"/>
    <col min="10" max="10" width="13.33203125" style="436" customWidth="1"/>
    <col min="11" max="11" width="19.6640625" style="346" customWidth="1"/>
    <col min="12" max="12" width="20.83203125" style="436" customWidth="1"/>
    <col min="13" max="13" width="17.1640625" style="436" customWidth="1"/>
    <col min="14" max="14" width="21.1640625" style="436" customWidth="1"/>
    <col min="15" max="15" width="18.83203125" style="436" customWidth="1"/>
    <col min="16" max="16" width="16.5" style="434" customWidth="1"/>
    <col min="17" max="20" width="20.1640625" style="436" hidden="1" customWidth="1"/>
    <col min="21" max="21" width="27.1640625" style="346" hidden="1" customWidth="1"/>
    <col min="22" max="22" width="19.1640625" style="345" hidden="1" customWidth="1"/>
    <col min="23" max="23" width="16.6640625" style="346" hidden="1" customWidth="1"/>
    <col min="24" max="24" width="14" style="347" customWidth="1"/>
    <col min="25" max="25" width="53.33203125" style="346" customWidth="1"/>
    <col min="26" max="16384" width="9" style="346"/>
  </cols>
  <sheetData>
    <row r="1" spans="1:24" s="165" customFormat="1" ht="16.5" thickBot="1" x14ac:dyDescent="0.25">
      <c r="A1" s="302" t="s">
        <v>454</v>
      </c>
      <c r="B1" s="303"/>
      <c r="C1" s="303"/>
      <c r="D1" s="303"/>
      <c r="E1" s="304"/>
      <c r="F1" s="304"/>
      <c r="G1" s="303"/>
      <c r="H1" s="303"/>
      <c r="I1" s="303"/>
      <c r="J1" s="303"/>
      <c r="K1" s="303"/>
      <c r="L1" s="303"/>
      <c r="M1" s="303"/>
      <c r="N1" s="303"/>
      <c r="O1" s="303"/>
      <c r="P1" s="305"/>
      <c r="Q1" s="306"/>
      <c r="R1" s="306"/>
      <c r="S1" s="306"/>
      <c r="T1" s="306"/>
      <c r="V1" s="307"/>
      <c r="X1" s="308"/>
    </row>
    <row r="2" spans="1:24" s="165" customFormat="1" ht="12.75" x14ac:dyDescent="0.2">
      <c r="A2" s="309" t="s">
        <v>746</v>
      </c>
      <c r="B2" s="310"/>
      <c r="C2" s="310"/>
      <c r="D2" s="310"/>
      <c r="E2" s="311" t="s">
        <v>460</v>
      </c>
      <c r="F2" s="311" t="s">
        <v>747</v>
      </c>
      <c r="G2" s="312"/>
      <c r="H2" s="312"/>
      <c r="I2" s="312"/>
      <c r="J2" s="312"/>
      <c r="K2" s="312"/>
      <c r="L2" s="312"/>
      <c r="M2" s="312"/>
      <c r="N2" s="312"/>
      <c r="O2" s="312"/>
      <c r="P2" s="313"/>
      <c r="Q2" s="312"/>
      <c r="R2" s="312"/>
      <c r="S2" s="312"/>
      <c r="T2" s="312"/>
      <c r="V2" s="307"/>
      <c r="X2" s="308"/>
    </row>
    <row r="3" spans="1:24" s="165" customFormat="1" ht="38.25" x14ac:dyDescent="0.2">
      <c r="A3" s="314" t="s">
        <v>748</v>
      </c>
      <c r="B3" s="315"/>
      <c r="C3" s="315"/>
      <c r="D3" s="315"/>
      <c r="E3" s="316" t="s">
        <v>749</v>
      </c>
      <c r="F3" s="317" t="s">
        <v>750</v>
      </c>
      <c r="G3" s="318"/>
      <c r="H3" s="318"/>
      <c r="I3" s="318"/>
      <c r="J3" s="319"/>
      <c r="K3" s="320"/>
      <c r="L3" s="319"/>
      <c r="M3" s="319"/>
      <c r="N3" s="319"/>
      <c r="O3" s="319"/>
      <c r="P3" s="321"/>
      <c r="Q3" s="319"/>
      <c r="R3" s="319"/>
      <c r="S3" s="319"/>
      <c r="T3" s="319"/>
      <c r="V3" s="307"/>
      <c r="X3" s="308"/>
    </row>
    <row r="4" spans="1:24" s="165" customFormat="1" ht="12.75" x14ac:dyDescent="0.2">
      <c r="A4" s="314" t="s">
        <v>751</v>
      </c>
      <c r="B4" s="315"/>
      <c r="C4" s="315"/>
      <c r="D4" s="315"/>
      <c r="E4" s="316"/>
      <c r="F4" s="316"/>
      <c r="G4" s="318"/>
      <c r="H4" s="318"/>
      <c r="I4" s="318"/>
      <c r="J4" s="319"/>
      <c r="K4" s="320"/>
      <c r="L4" s="319"/>
      <c r="M4" s="319"/>
      <c r="N4" s="319"/>
      <c r="O4" s="319"/>
      <c r="P4" s="321"/>
      <c r="Q4" s="319"/>
      <c r="R4" s="319"/>
      <c r="S4" s="319"/>
      <c r="T4" s="319"/>
      <c r="V4" s="307"/>
      <c r="X4" s="308"/>
    </row>
    <row r="5" spans="1:24" s="165" customFormat="1" ht="13.5" thickBot="1" x14ac:dyDescent="0.25">
      <c r="A5" s="322" t="s">
        <v>752</v>
      </c>
      <c r="B5" s="323"/>
      <c r="C5" s="323"/>
      <c r="D5" s="323"/>
      <c r="E5" s="316"/>
      <c r="F5" s="316"/>
      <c r="G5" s="318"/>
      <c r="H5" s="318"/>
      <c r="I5" s="318"/>
      <c r="J5" s="324"/>
      <c r="K5" s="320"/>
      <c r="L5" s="324"/>
      <c r="M5" s="324"/>
      <c r="N5" s="324"/>
      <c r="O5" s="324"/>
      <c r="P5" s="325"/>
      <c r="Q5" s="324"/>
      <c r="R5" s="324"/>
      <c r="S5" s="324"/>
      <c r="T5" s="324"/>
      <c r="V5" s="307"/>
      <c r="X5" s="308"/>
    </row>
    <row r="6" spans="1:24" s="165" customFormat="1" ht="15" customHeight="1" x14ac:dyDescent="0.2">
      <c r="A6" s="326" t="s">
        <v>15</v>
      </c>
      <c r="B6" s="327" t="s">
        <v>90</v>
      </c>
      <c r="C6" s="327" t="s">
        <v>16</v>
      </c>
      <c r="D6" s="327" t="s">
        <v>17</v>
      </c>
      <c r="E6" s="328" t="s">
        <v>446</v>
      </c>
      <c r="F6" s="329" t="s">
        <v>753</v>
      </c>
      <c r="G6" s="330"/>
      <c r="H6" s="330"/>
      <c r="I6" s="330"/>
      <c r="J6" s="331" t="s">
        <v>452</v>
      </c>
      <c r="K6" s="330" t="s">
        <v>754</v>
      </c>
      <c r="L6" s="330"/>
      <c r="M6" s="330"/>
      <c r="N6" s="330"/>
      <c r="O6" s="330"/>
      <c r="P6" s="332" t="s">
        <v>755</v>
      </c>
      <c r="Q6" s="333"/>
      <c r="R6" s="333"/>
      <c r="S6" s="333"/>
      <c r="T6" s="333"/>
      <c r="V6" s="334"/>
      <c r="W6" s="334"/>
      <c r="X6" s="308"/>
    </row>
    <row r="7" spans="1:24" ht="49.5" customHeight="1" thickBot="1" x14ac:dyDescent="0.25">
      <c r="A7" s="335"/>
      <c r="B7" s="336"/>
      <c r="C7" s="336"/>
      <c r="D7" s="336"/>
      <c r="E7" s="337"/>
      <c r="F7" s="338" t="s">
        <v>447</v>
      </c>
      <c r="G7" s="339" t="s">
        <v>448</v>
      </c>
      <c r="H7" s="339" t="s">
        <v>449</v>
      </c>
      <c r="I7" s="339" t="s">
        <v>450</v>
      </c>
      <c r="J7" s="340"/>
      <c r="K7" s="341" t="s">
        <v>446</v>
      </c>
      <c r="L7" s="342" t="s">
        <v>447</v>
      </c>
      <c r="M7" s="342" t="s">
        <v>448</v>
      </c>
      <c r="N7" s="342" t="s">
        <v>449</v>
      </c>
      <c r="O7" s="342" t="s">
        <v>450</v>
      </c>
      <c r="P7" s="343"/>
      <c r="Q7" s="333"/>
      <c r="R7" s="333"/>
      <c r="S7" s="333"/>
      <c r="T7" s="333"/>
      <c r="U7" s="344"/>
    </row>
    <row r="8" spans="1:24" ht="17.25" customHeight="1" x14ac:dyDescent="0.2">
      <c r="A8" s="348"/>
      <c r="B8" s="349"/>
      <c r="C8" s="350"/>
      <c r="D8" s="350"/>
      <c r="E8" s="351"/>
      <c r="F8" s="351"/>
      <c r="G8" s="351"/>
      <c r="H8" s="351"/>
      <c r="I8" s="351"/>
      <c r="J8" s="352"/>
      <c r="K8" s="353">
        <f>K33</f>
        <v>1482380.6754720078</v>
      </c>
      <c r="L8" s="353">
        <f t="shared" ref="L8:O8" si="0">L33</f>
        <v>1081074.8311185553</v>
      </c>
      <c r="M8" s="353">
        <f t="shared" si="0"/>
        <v>112841.15426476202</v>
      </c>
      <c r="N8" s="353">
        <f t="shared" si="0"/>
        <v>1193915.9853833176</v>
      </c>
      <c r="O8" s="353">
        <f t="shared" si="0"/>
        <v>288464.69008869061</v>
      </c>
      <c r="P8" s="354">
        <f>M8/K8</f>
        <v>7.6121576685308612E-2</v>
      </c>
      <c r="Q8" s="355"/>
      <c r="R8" s="355"/>
      <c r="S8" s="355"/>
      <c r="T8" s="355"/>
      <c r="U8" s="344"/>
    </row>
    <row r="9" spans="1:24" s="131" customFormat="1" ht="12.75" x14ac:dyDescent="0.2">
      <c r="A9" s="356" t="s">
        <v>92</v>
      </c>
      <c r="B9" s="357"/>
      <c r="C9" s="358" t="s">
        <v>13</v>
      </c>
      <c r="D9" s="359"/>
      <c r="E9" s="360"/>
      <c r="F9" s="360"/>
      <c r="G9" s="360"/>
      <c r="H9" s="360"/>
      <c r="I9" s="360"/>
      <c r="J9" s="361"/>
      <c r="K9" s="362">
        <f>K10+K22</f>
        <v>1372455.9954720079</v>
      </c>
      <c r="L9" s="362">
        <f t="shared" ref="L9:O9" si="1">L10+L22</f>
        <v>1054562.2313800072</v>
      </c>
      <c r="M9" s="362">
        <f t="shared" si="1"/>
        <v>112841.15426476202</v>
      </c>
      <c r="N9" s="362">
        <f t="shared" si="1"/>
        <v>1167403.3856447695</v>
      </c>
      <c r="O9" s="362">
        <f t="shared" si="1"/>
        <v>205052.6098272386</v>
      </c>
      <c r="P9" s="363">
        <f>M9/K9</f>
        <v>8.2218413294886217E-2</v>
      </c>
      <c r="Q9" s="364"/>
      <c r="R9" s="364"/>
      <c r="S9" s="364"/>
      <c r="T9" s="364"/>
      <c r="U9" s="365"/>
      <c r="V9" s="366"/>
      <c r="W9" s="367"/>
      <c r="X9" s="368"/>
    </row>
    <row r="10" spans="1:24" s="131" customFormat="1" ht="12.75" x14ac:dyDescent="0.2">
      <c r="A10" s="369" t="s">
        <v>161</v>
      </c>
      <c r="B10" s="370"/>
      <c r="C10" s="371" t="s">
        <v>13</v>
      </c>
      <c r="D10" s="372"/>
      <c r="E10" s="373"/>
      <c r="F10" s="373"/>
      <c r="G10" s="373"/>
      <c r="H10" s="373"/>
      <c r="I10" s="373"/>
      <c r="J10" s="374"/>
      <c r="K10" s="375">
        <f t="shared" ref="K10:O10" si="2">K11</f>
        <v>1128255.315472008</v>
      </c>
      <c r="L10" s="375">
        <f t="shared" si="2"/>
        <v>834125.20558000728</v>
      </c>
      <c r="M10" s="375">
        <f t="shared" si="2"/>
        <v>112841.15426476202</v>
      </c>
      <c r="N10" s="375">
        <f t="shared" si="2"/>
        <v>946966.35984476947</v>
      </c>
      <c r="O10" s="375">
        <f t="shared" si="2"/>
        <v>181288.95562723858</v>
      </c>
      <c r="P10" s="376">
        <f>M10/K10</f>
        <v>0.10001384679278438</v>
      </c>
      <c r="Q10" s="377"/>
      <c r="R10" s="377"/>
      <c r="S10" s="377"/>
      <c r="T10" s="377"/>
      <c r="U10" s="365"/>
      <c r="V10" s="366"/>
      <c r="W10" s="367"/>
      <c r="X10" s="368"/>
    </row>
    <row r="11" spans="1:24" s="131" customFormat="1" ht="12.75" x14ac:dyDescent="0.2">
      <c r="A11" s="378" t="s">
        <v>162</v>
      </c>
      <c r="B11" s="379"/>
      <c r="C11" s="380" t="s">
        <v>163</v>
      </c>
      <c r="D11" s="381"/>
      <c r="E11" s="382"/>
      <c r="F11" s="382"/>
      <c r="G11" s="382"/>
      <c r="H11" s="382"/>
      <c r="I11" s="382"/>
      <c r="J11" s="383"/>
      <c r="K11" s="384">
        <f>SUM(K12:K21)</f>
        <v>1128255.315472008</v>
      </c>
      <c r="L11" s="384">
        <f t="shared" ref="L11:O11" si="3">SUM(L12:L21)</f>
        <v>834125.20558000728</v>
      </c>
      <c r="M11" s="384">
        <f t="shared" si="3"/>
        <v>112841.15426476202</v>
      </c>
      <c r="N11" s="384">
        <f t="shared" si="3"/>
        <v>946966.35984476947</v>
      </c>
      <c r="O11" s="384">
        <f t="shared" si="3"/>
        <v>181288.95562723858</v>
      </c>
      <c r="P11" s="385">
        <f>M11/K11</f>
        <v>0.10001384679278438</v>
      </c>
      <c r="Q11" s="386"/>
      <c r="R11" s="386"/>
      <c r="S11" s="386"/>
      <c r="T11" s="386"/>
      <c r="U11" s="365"/>
      <c r="V11" s="366"/>
      <c r="W11" s="367"/>
      <c r="X11" s="368"/>
    </row>
    <row r="12" spans="1:24" s="400" customFormat="1" ht="28.5" customHeight="1" x14ac:dyDescent="0.2">
      <c r="A12" s="387" t="s">
        <v>756</v>
      </c>
      <c r="B12" s="388" t="s">
        <v>112</v>
      </c>
      <c r="C12" s="389" t="s">
        <v>113</v>
      </c>
      <c r="D12" s="388" t="s">
        <v>29</v>
      </c>
      <c r="E12" s="390">
        <v>25600</v>
      </c>
      <c r="F12" s="390">
        <v>24160</v>
      </c>
      <c r="G12" s="390"/>
      <c r="H12" s="390">
        <f>F12+G12</f>
        <v>24160</v>
      </c>
      <c r="I12" s="390">
        <f>E12-H12</f>
        <v>1440</v>
      </c>
      <c r="J12" s="391">
        <v>3.74</v>
      </c>
      <c r="K12" s="392">
        <f t="shared" ref="K12:K18" si="4">ROUND(E12*$J12,2)</f>
        <v>95744</v>
      </c>
      <c r="L12" s="393">
        <f>F12*J12</f>
        <v>90358.400000000009</v>
      </c>
      <c r="M12" s="394">
        <f>G12*J12</f>
        <v>0</v>
      </c>
      <c r="N12" s="394">
        <f>H12*J12</f>
        <v>90358.400000000009</v>
      </c>
      <c r="O12" s="394">
        <f>K12-N12</f>
        <v>5385.5999999999913</v>
      </c>
      <c r="P12" s="395">
        <f>M12/K12</f>
        <v>0</v>
      </c>
      <c r="Q12" s="396">
        <f>G12*J12</f>
        <v>0</v>
      </c>
      <c r="R12" s="396">
        <f>M12-Q12</f>
        <v>0</v>
      </c>
      <c r="S12" s="396">
        <f>K12-Q12</f>
        <v>95744</v>
      </c>
      <c r="T12" s="396">
        <f>S12-O12</f>
        <v>90358.400000000009</v>
      </c>
      <c r="U12" s="397"/>
      <c r="V12" s="398"/>
      <c r="W12" s="397"/>
      <c r="X12" s="399">
        <f>N12/K12</f>
        <v>0.94375000000000009</v>
      </c>
    </row>
    <row r="13" spans="1:24" s="404" customFormat="1" ht="27.75" customHeight="1" x14ac:dyDescent="0.2">
      <c r="A13" s="387" t="s">
        <v>757</v>
      </c>
      <c r="B13" s="388" t="s">
        <v>758</v>
      </c>
      <c r="C13" s="389" t="s">
        <v>759</v>
      </c>
      <c r="D13" s="388" t="s">
        <v>29</v>
      </c>
      <c r="E13" s="390">
        <v>16000</v>
      </c>
      <c r="F13" s="390">
        <v>16000</v>
      </c>
      <c r="G13" s="390"/>
      <c r="H13" s="390">
        <f t="shared" ref="H13:H21" si="5">F13+G13</f>
        <v>16000</v>
      </c>
      <c r="I13" s="390">
        <f t="shared" ref="I13:I21" si="6">E13-H13</f>
        <v>0</v>
      </c>
      <c r="J13" s="391">
        <v>0.54816400100000007</v>
      </c>
      <c r="K13" s="392">
        <f t="shared" si="4"/>
        <v>8770.6200000000008</v>
      </c>
      <c r="L13" s="393">
        <f t="shared" ref="L13:L21" si="7">F13*J13</f>
        <v>8770.6240160000016</v>
      </c>
      <c r="M13" s="394">
        <f t="shared" ref="M13:M21" si="8">G13*J13</f>
        <v>0</v>
      </c>
      <c r="N13" s="394">
        <f t="shared" ref="N13:N21" si="9">H13*J13</f>
        <v>8770.6240160000016</v>
      </c>
      <c r="O13" s="394">
        <f t="shared" ref="O13:O21" si="10">K13-N13</f>
        <v>-4.0160000007745111E-3</v>
      </c>
      <c r="P13" s="395">
        <f t="shared" ref="P13:P29" si="11">M13/K13</f>
        <v>0</v>
      </c>
      <c r="Q13" s="396">
        <f t="shared" ref="Q13:Q32" si="12">G13*J13</f>
        <v>0</v>
      </c>
      <c r="R13" s="396">
        <f t="shared" ref="R13:R32" si="13">M13-Q13</f>
        <v>0</v>
      </c>
      <c r="S13" s="396">
        <f t="shared" ref="S13:S32" si="14">K13-Q13</f>
        <v>8770.6200000000008</v>
      </c>
      <c r="T13" s="396">
        <f t="shared" ref="T13:T32" si="15">S13-O13</f>
        <v>8770.6240160000016</v>
      </c>
      <c r="U13" s="401"/>
      <c r="V13" s="402"/>
      <c r="W13" s="403"/>
      <c r="X13" s="399">
        <f t="shared" ref="X13:X32" si="16">N13/K13</f>
        <v>1.0000004578923727</v>
      </c>
    </row>
    <row r="14" spans="1:24" s="404" customFormat="1" ht="12.75" x14ac:dyDescent="0.2">
      <c r="A14" s="387" t="s">
        <v>760</v>
      </c>
      <c r="B14" s="405" t="s">
        <v>761</v>
      </c>
      <c r="C14" s="406" t="s">
        <v>762</v>
      </c>
      <c r="D14" s="405" t="s">
        <v>763</v>
      </c>
      <c r="E14" s="390">
        <v>58</v>
      </c>
      <c r="F14" s="390">
        <v>58</v>
      </c>
      <c r="G14" s="390"/>
      <c r="H14" s="390">
        <f t="shared" si="5"/>
        <v>58</v>
      </c>
      <c r="I14" s="390">
        <f t="shared" si="6"/>
        <v>0</v>
      </c>
      <c r="J14" s="391">
        <v>38.630612143200004</v>
      </c>
      <c r="K14" s="392">
        <f t="shared" si="4"/>
        <v>2240.58</v>
      </c>
      <c r="L14" s="393">
        <f t="shared" si="7"/>
        <v>2240.5755043056001</v>
      </c>
      <c r="M14" s="394">
        <f t="shared" si="8"/>
        <v>0</v>
      </c>
      <c r="N14" s="394">
        <f t="shared" si="9"/>
        <v>2240.5755043056001</v>
      </c>
      <c r="O14" s="394">
        <f t="shared" si="10"/>
        <v>4.4956943997931376E-3</v>
      </c>
      <c r="P14" s="395">
        <f t="shared" si="11"/>
        <v>0</v>
      </c>
      <c r="Q14" s="396">
        <f t="shared" si="12"/>
        <v>0</v>
      </c>
      <c r="R14" s="396">
        <f t="shared" si="13"/>
        <v>0</v>
      </c>
      <c r="S14" s="396">
        <f t="shared" si="14"/>
        <v>2240.58</v>
      </c>
      <c r="T14" s="396">
        <f t="shared" si="15"/>
        <v>2240.5755043056001</v>
      </c>
      <c r="U14" s="401"/>
      <c r="V14" s="402"/>
      <c r="W14" s="403"/>
      <c r="X14" s="399">
        <f t="shared" si="16"/>
        <v>0.99999799351310825</v>
      </c>
    </row>
    <row r="15" spans="1:24" s="404" customFormat="1" ht="25.5" x14ac:dyDescent="0.2">
      <c r="A15" s="387" t="s">
        <v>764</v>
      </c>
      <c r="B15" s="405" t="s">
        <v>765</v>
      </c>
      <c r="C15" s="406" t="s">
        <v>766</v>
      </c>
      <c r="D15" s="405" t="s">
        <v>14</v>
      </c>
      <c r="E15" s="390">
        <v>2565</v>
      </c>
      <c r="F15" s="390">
        <v>1014</v>
      </c>
      <c r="G15" s="390">
        <f>'[7]MOVIMENTAÇÃO DE MATERIAL'!J3</f>
        <v>840</v>
      </c>
      <c r="H15" s="390">
        <f t="shared" si="5"/>
        <v>1854</v>
      </c>
      <c r="I15" s="390">
        <f t="shared" si="6"/>
        <v>711</v>
      </c>
      <c r="J15" s="391">
        <v>20.471433782800002</v>
      </c>
      <c r="K15" s="392">
        <f t="shared" si="4"/>
        <v>52509.23</v>
      </c>
      <c r="L15" s="393">
        <f t="shared" si="7"/>
        <v>20758.0338557592</v>
      </c>
      <c r="M15" s="394">
        <f t="shared" si="8"/>
        <v>17196.004377552003</v>
      </c>
      <c r="N15" s="394">
        <f t="shared" si="9"/>
        <v>37954.038233311207</v>
      </c>
      <c r="O15" s="394">
        <f t="shared" si="10"/>
        <v>14555.191766688797</v>
      </c>
      <c r="P15" s="395">
        <f t="shared" si="11"/>
        <v>0.32748536547864066</v>
      </c>
      <c r="Q15" s="396">
        <f t="shared" si="12"/>
        <v>17196.004377552003</v>
      </c>
      <c r="R15" s="396">
        <f t="shared" si="13"/>
        <v>0</v>
      </c>
      <c r="S15" s="396">
        <f t="shared" si="14"/>
        <v>35313.225622448001</v>
      </c>
      <c r="T15" s="396">
        <f t="shared" si="15"/>
        <v>20758.033855759204</v>
      </c>
      <c r="U15" s="401"/>
      <c r="V15" s="402"/>
      <c r="W15" s="403"/>
      <c r="X15" s="399">
        <f t="shared" si="16"/>
        <v>0.72280698523499975</v>
      </c>
    </row>
    <row r="16" spans="1:24" s="404" customFormat="1" ht="42" customHeight="1" x14ac:dyDescent="0.2">
      <c r="A16" s="387" t="s">
        <v>767</v>
      </c>
      <c r="B16" s="405" t="s">
        <v>768</v>
      </c>
      <c r="C16" s="407" t="s">
        <v>769</v>
      </c>
      <c r="D16" s="405" t="s">
        <v>14</v>
      </c>
      <c r="E16" s="390">
        <v>18775</v>
      </c>
      <c r="F16" s="390">
        <v>17383.219999999998</v>
      </c>
      <c r="G16" s="390"/>
      <c r="H16" s="390">
        <f t="shared" si="5"/>
        <v>17383.219999999998</v>
      </c>
      <c r="I16" s="390">
        <f t="shared" si="6"/>
        <v>1391.7800000000025</v>
      </c>
      <c r="J16" s="391">
        <v>8.1626603058000011</v>
      </c>
      <c r="K16" s="392">
        <f t="shared" si="4"/>
        <v>153253.95000000001</v>
      </c>
      <c r="L16" s="393">
        <f t="shared" si="7"/>
        <v>141893.31988098868</v>
      </c>
      <c r="M16" s="394">
        <f t="shared" si="8"/>
        <v>0</v>
      </c>
      <c r="N16" s="394">
        <f t="shared" si="9"/>
        <v>141893.31988098868</v>
      </c>
      <c r="O16" s="394">
        <f t="shared" si="10"/>
        <v>11360.63011901133</v>
      </c>
      <c r="P16" s="395">
        <f t="shared" si="11"/>
        <v>0</v>
      </c>
      <c r="Q16" s="396">
        <f t="shared" si="12"/>
        <v>0</v>
      </c>
      <c r="R16" s="396">
        <f t="shared" si="13"/>
        <v>0</v>
      </c>
      <c r="S16" s="396">
        <f t="shared" si="14"/>
        <v>153253.95000000001</v>
      </c>
      <c r="T16" s="396">
        <f t="shared" si="15"/>
        <v>141893.31988098868</v>
      </c>
      <c r="U16" s="401"/>
      <c r="V16" s="402"/>
      <c r="W16" s="403"/>
      <c r="X16" s="399">
        <f t="shared" si="16"/>
        <v>0.92587055590403167</v>
      </c>
    </row>
    <row r="17" spans="1:24" s="404" customFormat="1" ht="41.25" customHeight="1" x14ac:dyDescent="0.2">
      <c r="A17" s="387" t="s">
        <v>770</v>
      </c>
      <c r="B17" s="405" t="s">
        <v>771</v>
      </c>
      <c r="C17" s="406" t="s">
        <v>772</v>
      </c>
      <c r="D17" s="405" t="s">
        <v>14</v>
      </c>
      <c r="E17" s="390">
        <v>44481</v>
      </c>
      <c r="F17" s="390">
        <v>38730.240999999995</v>
      </c>
      <c r="G17" s="390"/>
      <c r="H17" s="390">
        <f t="shared" si="5"/>
        <v>38730.240999999995</v>
      </c>
      <c r="I17" s="390">
        <f t="shared" si="6"/>
        <v>5750.7590000000055</v>
      </c>
      <c r="J17" s="391">
        <v>10.504815582799999</v>
      </c>
      <c r="K17" s="392">
        <f t="shared" si="4"/>
        <v>467264.7</v>
      </c>
      <c r="L17" s="393">
        <f t="shared" si="7"/>
        <v>406854.03918239934</v>
      </c>
      <c r="M17" s="394">
        <f t="shared" si="8"/>
        <v>0</v>
      </c>
      <c r="N17" s="394">
        <f t="shared" si="9"/>
        <v>406854.03918239934</v>
      </c>
      <c r="O17" s="394">
        <f t="shared" si="10"/>
        <v>60410.66081760067</v>
      </c>
      <c r="P17" s="395">
        <f t="shared" si="11"/>
        <v>0</v>
      </c>
      <c r="Q17" s="396">
        <f t="shared" si="12"/>
        <v>0</v>
      </c>
      <c r="R17" s="396">
        <f t="shared" si="13"/>
        <v>0</v>
      </c>
      <c r="S17" s="396">
        <f t="shared" si="14"/>
        <v>467264.7</v>
      </c>
      <c r="T17" s="396">
        <f t="shared" si="15"/>
        <v>406854.03918239934</v>
      </c>
      <c r="U17" s="401"/>
      <c r="V17" s="402"/>
      <c r="W17" s="403"/>
      <c r="X17" s="399">
        <f t="shared" si="16"/>
        <v>0.87071426363343807</v>
      </c>
    </row>
    <row r="18" spans="1:24" s="404" customFormat="1" ht="12.75" x14ac:dyDescent="0.2">
      <c r="A18" s="387" t="s">
        <v>773</v>
      </c>
      <c r="B18" s="405" t="s">
        <v>774</v>
      </c>
      <c r="C18" s="406" t="s">
        <v>775</v>
      </c>
      <c r="D18" s="405" t="s">
        <v>14</v>
      </c>
      <c r="E18" s="390">
        <v>2200</v>
      </c>
      <c r="F18" s="390">
        <v>1014</v>
      </c>
      <c r="G18" s="390">
        <f>'[7]MOVIMENTAÇÃO DE MATERIAL'!J4</f>
        <v>600</v>
      </c>
      <c r="H18" s="390">
        <f t="shared" si="5"/>
        <v>1614</v>
      </c>
      <c r="I18" s="390">
        <f t="shared" si="6"/>
        <v>586</v>
      </c>
      <c r="J18" s="391">
        <v>99.66618200000002</v>
      </c>
      <c r="K18" s="392">
        <f t="shared" si="4"/>
        <v>219265.6</v>
      </c>
      <c r="L18" s="393">
        <f t="shared" si="7"/>
        <v>101061.50854800003</v>
      </c>
      <c r="M18" s="394">
        <f t="shared" si="8"/>
        <v>59799.709200000012</v>
      </c>
      <c r="N18" s="394">
        <f t="shared" si="9"/>
        <v>160861.21774800002</v>
      </c>
      <c r="O18" s="394">
        <f t="shared" si="10"/>
        <v>58404.382251999981</v>
      </c>
      <c r="P18" s="395">
        <f t="shared" si="11"/>
        <v>0.27272727322480139</v>
      </c>
      <c r="Q18" s="396">
        <f t="shared" si="12"/>
        <v>59799.709200000012</v>
      </c>
      <c r="R18" s="396">
        <f t="shared" si="13"/>
        <v>0</v>
      </c>
      <c r="S18" s="396">
        <f t="shared" si="14"/>
        <v>159465.89079999999</v>
      </c>
      <c r="T18" s="396">
        <f t="shared" si="15"/>
        <v>101061.50854800001</v>
      </c>
      <c r="U18" s="401"/>
      <c r="V18" s="402"/>
      <c r="W18" s="403"/>
      <c r="X18" s="399">
        <f t="shared" si="16"/>
        <v>0.73363636497471574</v>
      </c>
    </row>
    <row r="19" spans="1:24" s="404" customFormat="1" ht="12.75" x14ac:dyDescent="0.2">
      <c r="A19" s="387" t="s">
        <v>776</v>
      </c>
      <c r="B19" s="405" t="s">
        <v>777</v>
      </c>
      <c r="C19" s="406" t="s">
        <v>778</v>
      </c>
      <c r="D19" s="405" t="s">
        <v>120</v>
      </c>
      <c r="E19" s="390">
        <v>149160</v>
      </c>
      <c r="F19" s="390">
        <v>73464.3</v>
      </c>
      <c r="G19" s="390">
        <f>'[7]MOVIMENTAÇÃO DE MATERIAL'!J5</f>
        <v>41850</v>
      </c>
      <c r="H19" s="390">
        <f t="shared" si="5"/>
        <v>115314.3</v>
      </c>
      <c r="I19" s="390">
        <f t="shared" si="6"/>
        <v>33845.699999999997</v>
      </c>
      <c r="J19" s="391">
        <v>0.58803047380000006</v>
      </c>
      <c r="K19" s="392">
        <f>E19*J19</f>
        <v>87710.625472008003</v>
      </c>
      <c r="L19" s="393">
        <f t="shared" si="7"/>
        <v>43199.247136385347</v>
      </c>
      <c r="M19" s="394">
        <f t="shared" si="8"/>
        <v>24609.075328530002</v>
      </c>
      <c r="N19" s="394">
        <f t="shared" si="9"/>
        <v>67808.322464915356</v>
      </c>
      <c r="O19" s="394">
        <f t="shared" si="10"/>
        <v>19902.303007092647</v>
      </c>
      <c r="P19" s="395">
        <f t="shared" si="11"/>
        <v>0.28057119871279163</v>
      </c>
      <c r="Q19" s="396">
        <f t="shared" si="12"/>
        <v>24609.075328530002</v>
      </c>
      <c r="R19" s="396">
        <f t="shared" si="13"/>
        <v>0</v>
      </c>
      <c r="S19" s="396">
        <f t="shared" si="14"/>
        <v>63101.550143478002</v>
      </c>
      <c r="T19" s="396">
        <f t="shared" si="15"/>
        <v>43199.247136385355</v>
      </c>
      <c r="U19" s="401"/>
      <c r="V19" s="402"/>
      <c r="W19" s="403"/>
      <c r="X19" s="399">
        <f t="shared" si="16"/>
        <v>0.77309131134352393</v>
      </c>
    </row>
    <row r="20" spans="1:24" s="404" customFormat="1" ht="12.75" x14ac:dyDescent="0.2">
      <c r="A20" s="387" t="s">
        <v>779</v>
      </c>
      <c r="B20" s="405" t="s">
        <v>780</v>
      </c>
      <c r="C20" s="406" t="s">
        <v>781</v>
      </c>
      <c r="D20" s="405" t="s">
        <v>120</v>
      </c>
      <c r="E20" s="390">
        <v>3630.0000000000005</v>
      </c>
      <c r="F20" s="390">
        <v>1521</v>
      </c>
      <c r="G20" s="390">
        <f>'[7]MOVIMENTAÇÃO DE MATERIAL'!J6</f>
        <v>900</v>
      </c>
      <c r="H20" s="390">
        <f t="shared" si="5"/>
        <v>2421</v>
      </c>
      <c r="I20" s="390">
        <f t="shared" si="6"/>
        <v>1209.0000000000005</v>
      </c>
      <c r="J20" s="391">
        <v>0.89699563800000015</v>
      </c>
      <c r="K20" s="392">
        <f>ROUND(E20*$J20,2)</f>
        <v>3256.09</v>
      </c>
      <c r="L20" s="393">
        <f t="shared" si="7"/>
        <v>1364.3303653980001</v>
      </c>
      <c r="M20" s="394">
        <f t="shared" si="8"/>
        <v>807.29607420000013</v>
      </c>
      <c r="N20" s="394">
        <f t="shared" si="9"/>
        <v>2171.6264395980002</v>
      </c>
      <c r="O20" s="394">
        <f t="shared" si="10"/>
        <v>1084.463560402</v>
      </c>
      <c r="P20" s="395">
        <f t="shared" si="11"/>
        <v>0.24793420151162901</v>
      </c>
      <c r="Q20" s="396">
        <f t="shared" si="12"/>
        <v>807.29607420000013</v>
      </c>
      <c r="R20" s="396">
        <f t="shared" si="13"/>
        <v>0</v>
      </c>
      <c r="S20" s="396">
        <f t="shared" si="14"/>
        <v>2448.7939258000001</v>
      </c>
      <c r="T20" s="396">
        <f t="shared" si="15"/>
        <v>1364.3303653980001</v>
      </c>
      <c r="U20" s="401"/>
      <c r="V20" s="402"/>
      <c r="W20" s="403"/>
      <c r="X20" s="399">
        <f t="shared" si="16"/>
        <v>0.66694300206628199</v>
      </c>
    </row>
    <row r="21" spans="1:24" s="404" customFormat="1" ht="30" customHeight="1" x14ac:dyDescent="0.2">
      <c r="A21" s="387" t="s">
        <v>782</v>
      </c>
      <c r="B21" s="405" t="s">
        <v>783</v>
      </c>
      <c r="C21" s="389" t="s">
        <v>784</v>
      </c>
      <c r="D21" s="405" t="s">
        <v>14</v>
      </c>
      <c r="E21" s="390">
        <v>2200</v>
      </c>
      <c r="F21" s="390">
        <v>1014</v>
      </c>
      <c r="G21" s="390">
        <f>'[7]MOVIMENTAÇÃO DE MATERIAL'!J7</f>
        <v>600</v>
      </c>
      <c r="H21" s="390">
        <f t="shared" si="5"/>
        <v>1614</v>
      </c>
      <c r="I21" s="390">
        <f t="shared" si="6"/>
        <v>586</v>
      </c>
      <c r="J21" s="391">
        <v>17.381782140800006</v>
      </c>
      <c r="K21" s="392">
        <f>ROUND(E21*$J21,2)</f>
        <v>38239.919999999998</v>
      </c>
      <c r="L21" s="393">
        <f t="shared" si="7"/>
        <v>17625.127090771206</v>
      </c>
      <c r="M21" s="394">
        <f t="shared" si="8"/>
        <v>10429.069284480003</v>
      </c>
      <c r="N21" s="394">
        <f t="shared" si="9"/>
        <v>28054.196375251209</v>
      </c>
      <c r="O21" s="394">
        <f t="shared" si="10"/>
        <v>10185.723624748789</v>
      </c>
      <c r="P21" s="395">
        <f t="shared" si="11"/>
        <v>0.27272727778928418</v>
      </c>
      <c r="Q21" s="396">
        <f t="shared" si="12"/>
        <v>10429.069284480003</v>
      </c>
      <c r="R21" s="396">
        <f t="shared" si="13"/>
        <v>0</v>
      </c>
      <c r="S21" s="396">
        <f t="shared" si="14"/>
        <v>27810.850715519995</v>
      </c>
      <c r="T21" s="396">
        <f t="shared" si="15"/>
        <v>17625.127090771206</v>
      </c>
      <c r="U21" s="401"/>
      <c r="V21" s="402"/>
      <c r="W21" s="403"/>
      <c r="X21" s="399">
        <f t="shared" si="16"/>
        <v>0.73363637725317443</v>
      </c>
    </row>
    <row r="22" spans="1:24" s="404" customFormat="1" ht="20.25" customHeight="1" x14ac:dyDescent="0.2">
      <c r="A22" s="369" t="s">
        <v>49</v>
      </c>
      <c r="B22" s="408"/>
      <c r="C22" s="371" t="s">
        <v>327</v>
      </c>
      <c r="D22" s="372"/>
      <c r="E22" s="373"/>
      <c r="F22" s="373"/>
      <c r="G22" s="373"/>
      <c r="H22" s="373"/>
      <c r="I22" s="373"/>
      <c r="J22" s="374"/>
      <c r="K22" s="375">
        <f>K23</f>
        <v>244200.68</v>
      </c>
      <c r="L22" s="375">
        <f t="shared" ref="L22:O23" si="17">L23</f>
        <v>220437.02579999997</v>
      </c>
      <c r="M22" s="375">
        <f t="shared" si="17"/>
        <v>0</v>
      </c>
      <c r="N22" s="375">
        <f t="shared" si="17"/>
        <v>220437.02579999997</v>
      </c>
      <c r="O22" s="375">
        <f t="shared" si="17"/>
        <v>23763.654200000019</v>
      </c>
      <c r="P22" s="376">
        <f t="shared" si="11"/>
        <v>0</v>
      </c>
      <c r="Q22" s="396">
        <f t="shared" si="12"/>
        <v>0</v>
      </c>
      <c r="R22" s="396">
        <f t="shared" si="13"/>
        <v>0</v>
      </c>
      <c r="S22" s="396">
        <f t="shared" si="14"/>
        <v>244200.68</v>
      </c>
      <c r="T22" s="396">
        <f t="shared" si="15"/>
        <v>220437.02579999997</v>
      </c>
      <c r="U22" s="401"/>
      <c r="V22" s="402"/>
      <c r="W22" s="403"/>
      <c r="X22" s="399">
        <f t="shared" si="16"/>
        <v>0.90268800971397778</v>
      </c>
    </row>
    <row r="23" spans="1:24" s="404" customFormat="1" ht="15.75" customHeight="1" x14ac:dyDescent="0.2">
      <c r="A23" s="409" t="s">
        <v>50</v>
      </c>
      <c r="B23" s="410"/>
      <c r="C23" s="411" t="s">
        <v>328</v>
      </c>
      <c r="D23" s="410"/>
      <c r="E23" s="412"/>
      <c r="F23" s="412"/>
      <c r="G23" s="412"/>
      <c r="H23" s="412"/>
      <c r="I23" s="412"/>
      <c r="J23" s="413"/>
      <c r="K23" s="414">
        <f>K24</f>
        <v>244200.68</v>
      </c>
      <c r="L23" s="414">
        <f t="shared" si="17"/>
        <v>220437.02579999997</v>
      </c>
      <c r="M23" s="414">
        <f t="shared" si="17"/>
        <v>0</v>
      </c>
      <c r="N23" s="414">
        <f t="shared" si="17"/>
        <v>220437.02579999997</v>
      </c>
      <c r="O23" s="414">
        <f t="shared" si="17"/>
        <v>23763.654200000019</v>
      </c>
      <c r="P23" s="415">
        <f t="shared" si="11"/>
        <v>0</v>
      </c>
      <c r="Q23" s="396">
        <f t="shared" si="12"/>
        <v>0</v>
      </c>
      <c r="R23" s="396">
        <f t="shared" si="13"/>
        <v>0</v>
      </c>
      <c r="S23" s="396">
        <f t="shared" si="14"/>
        <v>244200.68</v>
      </c>
      <c r="T23" s="396">
        <f t="shared" si="15"/>
        <v>220437.02579999997</v>
      </c>
      <c r="U23" s="401"/>
      <c r="V23" s="402"/>
      <c r="W23" s="403"/>
      <c r="X23" s="399">
        <f t="shared" si="16"/>
        <v>0.90268800971397778</v>
      </c>
    </row>
    <row r="24" spans="1:24" s="400" customFormat="1" ht="12.75" x14ac:dyDescent="0.2">
      <c r="A24" s="387" t="s">
        <v>329</v>
      </c>
      <c r="B24" s="405" t="s">
        <v>785</v>
      </c>
      <c r="C24" s="389" t="s">
        <v>118</v>
      </c>
      <c r="D24" s="388" t="s">
        <v>14</v>
      </c>
      <c r="E24" s="390">
        <v>30073.9755</v>
      </c>
      <c r="F24" s="390">
        <v>27147.416970443348</v>
      </c>
      <c r="G24" s="390"/>
      <c r="H24" s="390">
        <f t="shared" ref="H24" si="18">F24+G24</f>
        <v>27147.416970443348</v>
      </c>
      <c r="I24" s="390">
        <f t="shared" ref="I24" si="19">E24-H24</f>
        <v>2926.5585295566525</v>
      </c>
      <c r="J24" s="391">
        <v>8.1199999999999992</v>
      </c>
      <c r="K24" s="392">
        <f>ROUND(E24*$J24,2)</f>
        <v>244200.68</v>
      </c>
      <c r="L24" s="393">
        <f t="shared" ref="L24" si="20">F24*J24</f>
        <v>220437.02579999997</v>
      </c>
      <c r="M24" s="394">
        <f t="shared" ref="M24" si="21">G24*J24</f>
        <v>0</v>
      </c>
      <c r="N24" s="394">
        <f t="shared" ref="N24" si="22">H24*J24</f>
        <v>220437.02579999997</v>
      </c>
      <c r="O24" s="394">
        <f t="shared" ref="O24" si="23">K24-N24</f>
        <v>23763.654200000019</v>
      </c>
      <c r="P24" s="416">
        <f t="shared" si="11"/>
        <v>0</v>
      </c>
      <c r="Q24" s="396">
        <f t="shared" si="12"/>
        <v>0</v>
      </c>
      <c r="R24" s="396">
        <f t="shared" si="13"/>
        <v>0</v>
      </c>
      <c r="S24" s="396">
        <f t="shared" si="14"/>
        <v>244200.68</v>
      </c>
      <c r="T24" s="396">
        <f t="shared" si="15"/>
        <v>220437.02579999997</v>
      </c>
      <c r="U24" s="397" t="s">
        <v>786</v>
      </c>
      <c r="V24" s="398"/>
      <c r="W24" s="397"/>
      <c r="X24" s="399">
        <f t="shared" si="16"/>
        <v>0.90268800971397778</v>
      </c>
    </row>
    <row r="25" spans="1:24" s="131" customFormat="1" ht="12.75" x14ac:dyDescent="0.2">
      <c r="A25" s="356" t="s">
        <v>74</v>
      </c>
      <c r="B25" s="417"/>
      <c r="C25" s="358" t="s">
        <v>397</v>
      </c>
      <c r="D25" s="359"/>
      <c r="E25" s="360"/>
      <c r="F25" s="360"/>
      <c r="G25" s="360"/>
      <c r="H25" s="360"/>
      <c r="I25" s="360"/>
      <c r="J25" s="361"/>
      <c r="K25" s="362">
        <f>K26+K30</f>
        <v>109924.68000000001</v>
      </c>
      <c r="L25" s="362">
        <f t="shared" ref="L25:O25" si="24">L26+L30</f>
        <v>26512.599738548</v>
      </c>
      <c r="M25" s="362">
        <f t="shared" si="24"/>
        <v>0</v>
      </c>
      <c r="N25" s="362">
        <f t="shared" si="24"/>
        <v>26512.599738548</v>
      </c>
      <c r="O25" s="362">
        <f t="shared" si="24"/>
        <v>83412.080261452007</v>
      </c>
      <c r="P25" s="363">
        <f t="shared" si="11"/>
        <v>0</v>
      </c>
      <c r="Q25" s="396">
        <f t="shared" si="12"/>
        <v>0</v>
      </c>
      <c r="R25" s="396">
        <f t="shared" si="13"/>
        <v>0</v>
      </c>
      <c r="S25" s="396">
        <f t="shared" si="14"/>
        <v>109924.68000000001</v>
      </c>
      <c r="T25" s="396">
        <f t="shared" si="15"/>
        <v>26512.599738548</v>
      </c>
      <c r="U25" s="365"/>
      <c r="V25" s="366"/>
      <c r="W25" s="367" t="e">
        <f>V25*(1-#REF!)</f>
        <v>#REF!</v>
      </c>
      <c r="X25" s="399">
        <f t="shared" si="16"/>
        <v>0.24118878252407011</v>
      </c>
    </row>
    <row r="26" spans="1:24" s="131" customFormat="1" ht="12.75" x14ac:dyDescent="0.2">
      <c r="A26" s="369" t="s">
        <v>403</v>
      </c>
      <c r="B26" s="408"/>
      <c r="C26" s="371" t="s">
        <v>404</v>
      </c>
      <c r="D26" s="372"/>
      <c r="E26" s="373"/>
      <c r="F26" s="373"/>
      <c r="G26" s="373"/>
      <c r="H26" s="373"/>
      <c r="I26" s="373"/>
      <c r="J26" s="374"/>
      <c r="K26" s="375">
        <f>SUM(K27:K29)</f>
        <v>19563.27</v>
      </c>
      <c r="L26" s="375">
        <f>SUM(L27:L29)</f>
        <v>14301.59878609</v>
      </c>
      <c r="M26" s="375">
        <f>SUM(M27:M29)</f>
        <v>0</v>
      </c>
      <c r="N26" s="375">
        <f>SUM(N27:N29)</f>
        <v>14301.59878609</v>
      </c>
      <c r="O26" s="375">
        <f>SUM(O27:O29)</f>
        <v>5261.6712139100009</v>
      </c>
      <c r="P26" s="376">
        <f t="shared" si="11"/>
        <v>0</v>
      </c>
      <c r="Q26" s="396">
        <f t="shared" si="12"/>
        <v>0</v>
      </c>
      <c r="R26" s="396">
        <f t="shared" si="13"/>
        <v>0</v>
      </c>
      <c r="S26" s="396">
        <f t="shared" si="14"/>
        <v>19563.27</v>
      </c>
      <c r="T26" s="396">
        <f t="shared" si="15"/>
        <v>14301.598786089999</v>
      </c>
      <c r="U26" s="365"/>
      <c r="V26" s="366"/>
      <c r="W26" s="367" t="e">
        <f>V26*(1-#REF!)</f>
        <v>#REF!</v>
      </c>
      <c r="X26" s="399">
        <f t="shared" si="16"/>
        <v>0.73104336780558665</v>
      </c>
    </row>
    <row r="27" spans="1:24" s="404" customFormat="1" ht="38.25" x14ac:dyDescent="0.2">
      <c r="A27" s="387" t="s">
        <v>787</v>
      </c>
      <c r="B27" s="405" t="s">
        <v>788</v>
      </c>
      <c r="C27" s="406" t="s">
        <v>789</v>
      </c>
      <c r="D27" s="405" t="s">
        <v>37</v>
      </c>
      <c r="E27" s="390">
        <v>550</v>
      </c>
      <c r="F27" s="390">
        <v>550</v>
      </c>
      <c r="G27" s="390"/>
      <c r="H27" s="390">
        <f t="shared" ref="H27:H29" si="25">F27+G27</f>
        <v>550</v>
      </c>
      <c r="I27" s="390">
        <f t="shared" ref="I27:I29" si="26">E27-H27</f>
        <v>0</v>
      </c>
      <c r="J27" s="391">
        <v>25.365043319000002</v>
      </c>
      <c r="K27" s="392">
        <f>ROUND(E27*$J27,2)</f>
        <v>13950.77</v>
      </c>
      <c r="L27" s="393">
        <f t="shared" ref="L27:L29" si="27">F27*J27</f>
        <v>13950.77382545</v>
      </c>
      <c r="M27" s="394">
        <f t="shared" ref="M27:M29" si="28">G27*J27</f>
        <v>0</v>
      </c>
      <c r="N27" s="394">
        <f t="shared" ref="N27:N29" si="29">H27*J27</f>
        <v>13950.77382545</v>
      </c>
      <c r="O27" s="394">
        <f t="shared" ref="O27:O29" si="30">K27-N27</f>
        <v>-3.8254499995673541E-3</v>
      </c>
      <c r="P27" s="416">
        <f t="shared" si="11"/>
        <v>0</v>
      </c>
      <c r="Q27" s="396">
        <f t="shared" si="12"/>
        <v>0</v>
      </c>
      <c r="R27" s="396">
        <f t="shared" si="13"/>
        <v>0</v>
      </c>
      <c r="S27" s="396">
        <f t="shared" si="14"/>
        <v>13950.77</v>
      </c>
      <c r="T27" s="396">
        <f t="shared" si="15"/>
        <v>13950.77382545</v>
      </c>
      <c r="U27" s="401"/>
      <c r="V27" s="402"/>
      <c r="W27" s="403"/>
      <c r="X27" s="399">
        <f t="shared" si="16"/>
        <v>1.0000002742106708</v>
      </c>
    </row>
    <row r="28" spans="1:24" s="404" customFormat="1" ht="12.75" x14ac:dyDescent="0.2">
      <c r="A28" s="387" t="s">
        <v>790</v>
      </c>
      <c r="B28" s="405" t="s">
        <v>791</v>
      </c>
      <c r="C28" s="406" t="s">
        <v>792</v>
      </c>
      <c r="D28" s="405" t="s">
        <v>37</v>
      </c>
      <c r="E28" s="390">
        <v>550</v>
      </c>
      <c r="F28" s="390">
        <v>550</v>
      </c>
      <c r="G28" s="390"/>
      <c r="H28" s="390">
        <f t="shared" si="25"/>
        <v>550</v>
      </c>
      <c r="I28" s="390">
        <f t="shared" si="26"/>
        <v>0</v>
      </c>
      <c r="J28" s="391">
        <v>0.63786356480000006</v>
      </c>
      <c r="K28" s="392">
        <f>ROUND(E28*$J28,2)</f>
        <v>350.82</v>
      </c>
      <c r="L28" s="393">
        <f t="shared" si="27"/>
        <v>350.82496064000003</v>
      </c>
      <c r="M28" s="394">
        <f t="shared" si="28"/>
        <v>0</v>
      </c>
      <c r="N28" s="394">
        <f t="shared" si="29"/>
        <v>350.82496064000003</v>
      </c>
      <c r="O28" s="394">
        <f t="shared" si="30"/>
        <v>-4.9606400000357098E-3</v>
      </c>
      <c r="P28" s="416">
        <f t="shared" si="11"/>
        <v>0</v>
      </c>
      <c r="Q28" s="396">
        <f t="shared" si="12"/>
        <v>0</v>
      </c>
      <c r="R28" s="396">
        <f t="shared" si="13"/>
        <v>0</v>
      </c>
      <c r="S28" s="396">
        <f t="shared" si="14"/>
        <v>350.82</v>
      </c>
      <c r="T28" s="396">
        <f t="shared" si="15"/>
        <v>350.82496064000003</v>
      </c>
      <c r="U28" s="401"/>
      <c r="V28" s="402"/>
      <c r="W28" s="403"/>
      <c r="X28" s="399">
        <f t="shared" si="16"/>
        <v>1.0000141401288412</v>
      </c>
    </row>
    <row r="29" spans="1:24" s="404" customFormat="1" ht="12.75" x14ac:dyDescent="0.2">
      <c r="A29" s="387" t="s">
        <v>793</v>
      </c>
      <c r="B29" s="405" t="s">
        <v>794</v>
      </c>
      <c r="C29" s="406" t="s">
        <v>795</v>
      </c>
      <c r="D29" s="405" t="s">
        <v>763</v>
      </c>
      <c r="E29" s="390">
        <v>1</v>
      </c>
      <c r="F29" s="390">
        <v>0</v>
      </c>
      <c r="G29" s="390"/>
      <c r="H29" s="390">
        <f t="shared" si="25"/>
        <v>0</v>
      </c>
      <c r="I29" s="390">
        <f t="shared" si="26"/>
        <v>1</v>
      </c>
      <c r="J29" s="391">
        <v>5261.6767463260003</v>
      </c>
      <c r="K29" s="392">
        <f>ROUND(E29*$J29,2)</f>
        <v>5261.68</v>
      </c>
      <c r="L29" s="393">
        <f t="shared" si="27"/>
        <v>0</v>
      </c>
      <c r="M29" s="394">
        <f t="shared" si="28"/>
        <v>0</v>
      </c>
      <c r="N29" s="394">
        <f t="shared" si="29"/>
        <v>0</v>
      </c>
      <c r="O29" s="394">
        <f t="shared" si="30"/>
        <v>5261.68</v>
      </c>
      <c r="P29" s="416">
        <f t="shared" si="11"/>
        <v>0</v>
      </c>
      <c r="Q29" s="396">
        <f t="shared" si="12"/>
        <v>0</v>
      </c>
      <c r="R29" s="396">
        <f t="shared" si="13"/>
        <v>0</v>
      </c>
      <c r="S29" s="396">
        <f t="shared" si="14"/>
        <v>5261.68</v>
      </c>
      <c r="T29" s="396">
        <f t="shared" si="15"/>
        <v>0</v>
      </c>
      <c r="U29" s="401"/>
      <c r="V29" s="402"/>
      <c r="W29" s="403"/>
      <c r="X29" s="399">
        <f t="shared" si="16"/>
        <v>0</v>
      </c>
    </row>
    <row r="30" spans="1:24" s="131" customFormat="1" ht="12.75" x14ac:dyDescent="0.2">
      <c r="A30" s="369" t="s">
        <v>429</v>
      </c>
      <c r="B30" s="408"/>
      <c r="C30" s="371" t="s">
        <v>430</v>
      </c>
      <c r="D30" s="372"/>
      <c r="E30" s="373"/>
      <c r="F30" s="373"/>
      <c r="G30" s="373"/>
      <c r="H30" s="373"/>
      <c r="I30" s="373"/>
      <c r="J30" s="374"/>
      <c r="K30" s="375">
        <f>SUM(K31:K32)</f>
        <v>90361.41</v>
      </c>
      <c r="L30" s="375">
        <f t="shared" ref="L30:O30" si="31">SUM(L31:L32)</f>
        <v>12211.000952458</v>
      </c>
      <c r="M30" s="375">
        <f t="shared" si="31"/>
        <v>0</v>
      </c>
      <c r="N30" s="375">
        <f t="shared" si="31"/>
        <v>12211.000952458</v>
      </c>
      <c r="O30" s="375">
        <f t="shared" si="31"/>
        <v>78150.409047542009</v>
      </c>
      <c r="P30" s="376">
        <f>M30/K30</f>
        <v>0</v>
      </c>
      <c r="Q30" s="396">
        <f t="shared" si="12"/>
        <v>0</v>
      </c>
      <c r="R30" s="396">
        <f t="shared" si="13"/>
        <v>0</v>
      </c>
      <c r="S30" s="396">
        <f t="shared" si="14"/>
        <v>90361.41</v>
      </c>
      <c r="T30" s="396">
        <f t="shared" si="15"/>
        <v>12211.000952457995</v>
      </c>
      <c r="U30" s="365"/>
      <c r="V30" s="366"/>
      <c r="X30" s="399">
        <f t="shared" si="16"/>
        <v>0.13513513072071362</v>
      </c>
    </row>
    <row r="31" spans="1:24" s="404" customFormat="1" ht="25.5" x14ac:dyDescent="0.2">
      <c r="A31" s="387" t="s">
        <v>796</v>
      </c>
      <c r="B31" s="388" t="s">
        <v>797</v>
      </c>
      <c r="C31" s="389" t="s">
        <v>798</v>
      </c>
      <c r="D31" s="388" t="s">
        <v>30</v>
      </c>
      <c r="E31" s="390">
        <v>4</v>
      </c>
      <c r="F31" s="390">
        <v>0</v>
      </c>
      <c r="G31" s="390"/>
      <c r="H31" s="390">
        <f t="shared" ref="H31:H32" si="32">F31+G31</f>
        <v>0</v>
      </c>
      <c r="I31" s="390">
        <f t="shared" ref="I31:I32" si="33">E31-H31</f>
        <v>4</v>
      </c>
      <c r="J31" s="391">
        <v>19537.601523932804</v>
      </c>
      <c r="K31" s="392">
        <f>ROUND(E31*$J31,2)</f>
        <v>78150.41</v>
      </c>
      <c r="L31" s="393">
        <f t="shared" ref="L31:L32" si="34">F31*J31</f>
        <v>0</v>
      </c>
      <c r="M31" s="394">
        <f t="shared" ref="M31:M32" si="35">G31*J31</f>
        <v>0</v>
      </c>
      <c r="N31" s="394">
        <f t="shared" ref="N31:N32" si="36">H31*J31</f>
        <v>0</v>
      </c>
      <c r="O31" s="394">
        <f t="shared" ref="O31:O32" si="37">K31-N31</f>
        <v>78150.41</v>
      </c>
      <c r="P31" s="416">
        <f>M31/K31</f>
        <v>0</v>
      </c>
      <c r="Q31" s="396">
        <f t="shared" si="12"/>
        <v>0</v>
      </c>
      <c r="R31" s="396">
        <f t="shared" si="13"/>
        <v>0</v>
      </c>
      <c r="S31" s="396">
        <f t="shared" si="14"/>
        <v>78150.41</v>
      </c>
      <c r="T31" s="396">
        <f t="shared" si="15"/>
        <v>0</v>
      </c>
      <c r="U31" s="401"/>
      <c r="V31" s="402"/>
      <c r="X31" s="399">
        <f t="shared" si="16"/>
        <v>0</v>
      </c>
    </row>
    <row r="32" spans="1:24" s="404" customFormat="1" ht="26.25" thickBot="1" x14ac:dyDescent="0.25">
      <c r="A32" s="418" t="s">
        <v>799</v>
      </c>
      <c r="B32" s="419" t="s">
        <v>797</v>
      </c>
      <c r="C32" s="420" t="s">
        <v>800</v>
      </c>
      <c r="D32" s="419" t="s">
        <v>763</v>
      </c>
      <c r="E32" s="421">
        <v>1</v>
      </c>
      <c r="F32" s="421">
        <v>1</v>
      </c>
      <c r="G32" s="421"/>
      <c r="H32" s="390">
        <f t="shared" si="32"/>
        <v>1</v>
      </c>
      <c r="I32" s="390">
        <f t="shared" si="33"/>
        <v>0</v>
      </c>
      <c r="J32" s="422">
        <v>12211.000952458</v>
      </c>
      <c r="K32" s="423">
        <f>ROUND(E32*$J32,2)</f>
        <v>12211</v>
      </c>
      <c r="L32" s="393">
        <f t="shared" si="34"/>
        <v>12211.000952458</v>
      </c>
      <c r="M32" s="394">
        <f t="shared" si="35"/>
        <v>0</v>
      </c>
      <c r="N32" s="394">
        <f t="shared" si="36"/>
        <v>12211.000952458</v>
      </c>
      <c r="O32" s="394">
        <f t="shared" si="37"/>
        <v>-9.5245800002885517E-4</v>
      </c>
      <c r="P32" s="416">
        <f>M32/K32</f>
        <v>0</v>
      </c>
      <c r="Q32" s="396">
        <f t="shared" si="12"/>
        <v>0</v>
      </c>
      <c r="R32" s="396">
        <f t="shared" si="13"/>
        <v>0</v>
      </c>
      <c r="S32" s="396">
        <f t="shared" si="14"/>
        <v>12211</v>
      </c>
      <c r="T32" s="396">
        <f t="shared" si="15"/>
        <v>12211.000952458</v>
      </c>
      <c r="U32" s="401"/>
      <c r="V32" s="402"/>
      <c r="X32" s="399">
        <f t="shared" si="16"/>
        <v>1.000000078</v>
      </c>
    </row>
    <row r="33" spans="1:25" s="431" customFormat="1" ht="13.5" thickBot="1" x14ac:dyDescent="0.25">
      <c r="A33" s="424" t="s">
        <v>801</v>
      </c>
      <c r="B33" s="425"/>
      <c r="C33" s="425"/>
      <c r="D33" s="425"/>
      <c r="E33" s="425"/>
      <c r="F33" s="425"/>
      <c r="G33" s="425"/>
      <c r="H33" s="425"/>
      <c r="I33" s="425"/>
      <c r="J33" s="426"/>
      <c r="K33" s="427">
        <f>K9+K25</f>
        <v>1482380.6754720078</v>
      </c>
      <c r="L33" s="427">
        <f t="shared" ref="L33:O33" si="38">L9+L25</f>
        <v>1081074.8311185553</v>
      </c>
      <c r="M33" s="427">
        <f t="shared" si="38"/>
        <v>112841.15426476202</v>
      </c>
      <c r="N33" s="427">
        <f t="shared" si="38"/>
        <v>1193915.9853833176</v>
      </c>
      <c r="O33" s="427">
        <f t="shared" si="38"/>
        <v>288464.69008869061</v>
      </c>
      <c r="P33" s="428">
        <f>M33/K33</f>
        <v>7.6121576685308612E-2</v>
      </c>
      <c r="Q33" s="429"/>
      <c r="R33" s="429"/>
      <c r="S33" s="429"/>
      <c r="T33" s="429"/>
      <c r="U33" s="365"/>
      <c r="V33" s="430"/>
      <c r="X33" s="432"/>
    </row>
    <row r="34" spans="1:25" x14ac:dyDescent="0.2">
      <c r="K34" s="437"/>
    </row>
    <row r="38" spans="1:25" s="436" customFormat="1" x14ac:dyDescent="0.2">
      <c r="A38" s="346"/>
      <c r="B38" s="433"/>
      <c r="C38" s="346"/>
      <c r="D38" s="434"/>
      <c r="E38" s="435"/>
      <c r="F38" s="435"/>
      <c r="G38" s="435"/>
      <c r="H38" s="435"/>
      <c r="I38" s="435"/>
      <c r="K38" s="346"/>
      <c r="P38" s="434"/>
      <c r="U38" s="346"/>
      <c r="V38" s="345"/>
      <c r="W38" s="346"/>
      <c r="X38" s="347"/>
      <c r="Y38" s="346"/>
    </row>
  </sheetData>
  <autoFilter ref="A7:U33" xr:uid="{00000000-0001-0000-0000-000000000000}"/>
  <mergeCells count="16">
    <mergeCell ref="F6:I6"/>
    <mergeCell ref="J6:J7"/>
    <mergeCell ref="K6:O6"/>
    <mergeCell ref="P6:P7"/>
    <mergeCell ref="V6:W6"/>
    <mergeCell ref="A33:J33"/>
    <mergeCell ref="A1:P1"/>
    <mergeCell ref="A2:D2"/>
    <mergeCell ref="A3:D3"/>
    <mergeCell ref="A4:D4"/>
    <mergeCell ref="A5:D5"/>
    <mergeCell ref="A6:A7"/>
    <mergeCell ref="B6:B7"/>
    <mergeCell ref="C6:C7"/>
    <mergeCell ref="D6:D7"/>
    <mergeCell ref="E6:E7"/>
  </mergeCells>
  <printOptions horizontalCentered="1"/>
  <pageMargins left="0.39370078740157483" right="0.39370078740157483" top="0.59055118110236227" bottom="0.78740157480314965" header="0.31496062992125984" footer="0.31496062992125984"/>
  <pageSetup paperSize="9" scale="43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E277-9628-4B24-9364-DE592DD04844}">
  <dimension ref="A1:Q104"/>
  <sheetViews>
    <sheetView view="pageBreakPreview" zoomScale="90" zoomScaleNormal="90" zoomScaleSheetLayoutView="90" workbookViewId="0">
      <selection activeCell="C2" sqref="C2:F2"/>
    </sheetView>
  </sheetViews>
  <sheetFormatPr defaultRowHeight="12.75" x14ac:dyDescent="0.2"/>
  <cols>
    <col min="1" max="1" width="9.5" customWidth="1"/>
    <col min="2" max="2" width="6.6640625" customWidth="1"/>
    <col min="3" max="4" width="12.5" customWidth="1"/>
    <col min="5" max="5" width="17.5" customWidth="1"/>
    <col min="6" max="6" width="14.5" customWidth="1"/>
    <col min="7" max="7" width="15.1640625" customWidth="1"/>
    <col min="8" max="8" width="14.5" customWidth="1"/>
    <col min="9" max="9" width="19.1640625" style="33" customWidth="1"/>
    <col min="10" max="10" width="15.1640625" customWidth="1"/>
  </cols>
  <sheetData>
    <row r="1" spans="1:10" ht="58.9" customHeight="1" x14ac:dyDescent="0.2">
      <c r="A1" s="264"/>
      <c r="B1" s="264"/>
      <c r="C1" s="264"/>
      <c r="D1" s="265" t="s">
        <v>744</v>
      </c>
      <c r="E1" s="265"/>
      <c r="F1" s="266"/>
      <c r="G1" s="266"/>
      <c r="H1" s="266"/>
      <c r="I1" s="264"/>
      <c r="J1" s="264"/>
    </row>
    <row r="2" spans="1:10" ht="19.149999999999999" customHeight="1" x14ac:dyDescent="0.2">
      <c r="A2" s="267" t="s">
        <v>505</v>
      </c>
      <c r="B2" s="267"/>
      <c r="C2" s="268" t="s">
        <v>506</v>
      </c>
      <c r="D2" s="268"/>
      <c r="E2" s="268"/>
      <c r="F2" s="268"/>
      <c r="G2" s="269"/>
      <c r="H2" s="269"/>
      <c r="I2" s="269"/>
      <c r="J2" s="132"/>
    </row>
    <row r="3" spans="1:10" ht="18" customHeight="1" x14ac:dyDescent="0.2">
      <c r="A3" s="267" t="s">
        <v>507</v>
      </c>
      <c r="B3" s="267"/>
      <c r="C3" s="268" t="s">
        <v>508</v>
      </c>
      <c r="D3" s="268"/>
      <c r="E3" s="268"/>
      <c r="F3" s="268"/>
      <c r="G3" s="273" t="s">
        <v>509</v>
      </c>
      <c r="H3" s="269"/>
      <c r="I3" s="269"/>
      <c r="J3" s="132"/>
    </row>
    <row r="4" spans="1:10" ht="19.149999999999999" customHeight="1" x14ac:dyDescent="0.2">
      <c r="A4" s="267" t="s">
        <v>510</v>
      </c>
      <c r="B4" s="267"/>
      <c r="C4" s="268" t="s">
        <v>743</v>
      </c>
      <c r="D4" s="268"/>
      <c r="E4" s="268"/>
      <c r="F4" s="268"/>
      <c r="G4" s="269" t="s">
        <v>511</v>
      </c>
      <c r="H4" s="269"/>
      <c r="I4" s="269"/>
      <c r="J4" s="132"/>
    </row>
    <row r="5" spans="1:10" ht="16.5" customHeight="1" x14ac:dyDescent="0.2">
      <c r="A5" s="270" t="s">
        <v>512</v>
      </c>
      <c r="B5" s="270"/>
      <c r="C5" s="271" t="s">
        <v>513</v>
      </c>
      <c r="D5" s="271"/>
      <c r="E5" s="270" t="s">
        <v>514</v>
      </c>
      <c r="F5" s="270" t="s">
        <v>540</v>
      </c>
      <c r="G5" s="270" t="s">
        <v>515</v>
      </c>
      <c r="H5" s="270"/>
      <c r="I5" s="271" t="s">
        <v>516</v>
      </c>
      <c r="J5" s="271"/>
    </row>
    <row r="6" spans="1:10" ht="14.25" customHeight="1" x14ac:dyDescent="0.2">
      <c r="A6" s="270"/>
      <c r="B6" s="270"/>
      <c r="C6" s="133" t="s">
        <v>517</v>
      </c>
      <c r="D6" s="133" t="s">
        <v>518</v>
      </c>
      <c r="E6" s="270"/>
      <c r="F6" s="270"/>
      <c r="G6" s="133" t="s">
        <v>517</v>
      </c>
      <c r="H6" s="133" t="s">
        <v>518</v>
      </c>
      <c r="I6" s="134" t="s">
        <v>517</v>
      </c>
      <c r="J6" s="133" t="s">
        <v>518</v>
      </c>
    </row>
    <row r="7" spans="1:10" ht="14.25" customHeight="1" x14ac:dyDescent="0.2">
      <c r="A7" s="272" t="s">
        <v>519</v>
      </c>
      <c r="B7" s="272"/>
      <c r="C7" s="135">
        <v>20.32</v>
      </c>
      <c r="D7" s="135">
        <v>0</v>
      </c>
      <c r="E7" s="135">
        <v>10</v>
      </c>
      <c r="F7" s="136">
        <v>2500</v>
      </c>
      <c r="G7" s="135">
        <v>203.2</v>
      </c>
      <c r="H7" s="135">
        <v>0</v>
      </c>
      <c r="I7" s="201">
        <v>203.2</v>
      </c>
      <c r="J7" s="135">
        <v>0</v>
      </c>
    </row>
    <row r="8" spans="1:10" ht="14.25" customHeight="1" x14ac:dyDescent="0.2">
      <c r="A8" s="272" t="s">
        <v>520</v>
      </c>
      <c r="B8" s="272"/>
      <c r="C8" s="135">
        <v>29.33</v>
      </c>
      <c r="D8" s="135">
        <v>0</v>
      </c>
      <c r="E8" s="135">
        <v>10</v>
      </c>
      <c r="F8" s="136">
        <v>1200</v>
      </c>
      <c r="G8" s="135">
        <v>293.29999999999995</v>
      </c>
      <c r="H8" s="135">
        <v>0</v>
      </c>
      <c r="I8" s="201">
        <v>496.49999999999994</v>
      </c>
      <c r="J8" s="135">
        <v>0</v>
      </c>
    </row>
    <row r="9" spans="1:10" ht="14.25" customHeight="1" x14ac:dyDescent="0.2">
      <c r="A9" s="272" t="s">
        <v>521</v>
      </c>
      <c r="B9" s="272"/>
      <c r="C9" s="135">
        <v>42.08</v>
      </c>
      <c r="D9" s="135">
        <v>0</v>
      </c>
      <c r="E9" s="135">
        <v>10</v>
      </c>
      <c r="F9" s="202">
        <v>400</v>
      </c>
      <c r="G9" s="135">
        <v>420.79999999999995</v>
      </c>
      <c r="H9" s="135">
        <v>0</v>
      </c>
      <c r="I9" s="201">
        <v>917.3</v>
      </c>
      <c r="J9" s="135">
        <v>0</v>
      </c>
    </row>
    <row r="10" spans="1:10" ht="14.25" customHeight="1" x14ac:dyDescent="0.2">
      <c r="A10" s="272" t="s">
        <v>522</v>
      </c>
      <c r="B10" s="272"/>
      <c r="C10" s="135">
        <v>63.67</v>
      </c>
      <c r="D10" s="135">
        <v>0</v>
      </c>
      <c r="E10" s="135">
        <v>10</v>
      </c>
      <c r="F10" s="136">
        <v>50</v>
      </c>
      <c r="G10" s="135">
        <v>636.70000000000005</v>
      </c>
      <c r="H10" s="135">
        <v>0</v>
      </c>
      <c r="I10" s="201">
        <v>1554</v>
      </c>
      <c r="J10" s="135">
        <v>0</v>
      </c>
    </row>
    <row r="11" spans="1:10" ht="14.25" customHeight="1" x14ac:dyDescent="0.2">
      <c r="A11" s="272" t="s">
        <v>523</v>
      </c>
      <c r="B11" s="272"/>
      <c r="C11" s="135">
        <v>92.06</v>
      </c>
      <c r="D11" s="135">
        <v>0</v>
      </c>
      <c r="E11" s="135">
        <v>10</v>
      </c>
      <c r="F11" s="136">
        <v>50</v>
      </c>
      <c r="G11" s="135">
        <v>920.6</v>
      </c>
      <c r="H11" s="135">
        <v>0</v>
      </c>
      <c r="I11" s="201">
        <v>2474.6</v>
      </c>
      <c r="J11" s="135">
        <v>0</v>
      </c>
    </row>
    <row r="12" spans="1:10" ht="14.25" customHeight="1" x14ac:dyDescent="0.2">
      <c r="A12" s="272" t="s">
        <v>524</v>
      </c>
      <c r="B12" s="272"/>
      <c r="C12" s="135">
        <v>127.39</v>
      </c>
      <c r="D12" s="135">
        <v>0</v>
      </c>
      <c r="E12" s="135">
        <v>10</v>
      </c>
      <c r="F12" s="136">
        <v>50</v>
      </c>
      <c r="G12" s="135">
        <v>1273.9000000000001</v>
      </c>
      <c r="H12" s="135">
        <v>0</v>
      </c>
      <c r="I12" s="201">
        <v>3748.5</v>
      </c>
      <c r="J12" s="135">
        <v>0</v>
      </c>
    </row>
    <row r="13" spans="1:10" ht="14.25" customHeight="1" x14ac:dyDescent="0.2">
      <c r="A13" s="272" t="s">
        <v>525</v>
      </c>
      <c r="B13" s="272"/>
      <c r="C13" s="135">
        <v>164.87</v>
      </c>
      <c r="D13" s="135">
        <v>0</v>
      </c>
      <c r="E13" s="135">
        <v>10</v>
      </c>
      <c r="F13" s="136">
        <v>50</v>
      </c>
      <c r="G13" s="135">
        <v>1648.7</v>
      </c>
      <c r="H13" s="135">
        <v>0</v>
      </c>
      <c r="I13" s="201">
        <v>5397.2</v>
      </c>
      <c r="J13" s="135">
        <v>0</v>
      </c>
    </row>
    <row r="14" spans="1:10" ht="14.25" customHeight="1" x14ac:dyDescent="0.2">
      <c r="A14" s="272" t="s">
        <v>526</v>
      </c>
      <c r="B14" s="272"/>
      <c r="C14" s="135">
        <v>159.15</v>
      </c>
      <c r="D14" s="135">
        <v>0</v>
      </c>
      <c r="E14" s="135">
        <v>10</v>
      </c>
      <c r="F14" s="136">
        <v>50</v>
      </c>
      <c r="G14" s="135">
        <v>1591.5</v>
      </c>
      <c r="H14" s="135">
        <v>0</v>
      </c>
      <c r="I14" s="201">
        <v>6988.7</v>
      </c>
      <c r="J14" s="135">
        <v>0</v>
      </c>
    </row>
    <row r="15" spans="1:10" ht="14.25" customHeight="1" x14ac:dyDescent="0.2">
      <c r="A15" s="272" t="s">
        <v>527</v>
      </c>
      <c r="B15" s="272"/>
      <c r="C15" s="135">
        <v>152.51</v>
      </c>
      <c r="D15" s="135">
        <v>0</v>
      </c>
      <c r="E15" s="135">
        <v>10</v>
      </c>
      <c r="F15" s="136">
        <v>50</v>
      </c>
      <c r="G15" s="135">
        <v>1525.1</v>
      </c>
      <c r="H15" s="135">
        <v>0</v>
      </c>
      <c r="I15" s="201">
        <v>8513.7999999999993</v>
      </c>
      <c r="J15" s="135">
        <v>0</v>
      </c>
    </row>
    <row r="16" spans="1:10" ht="14.25" customHeight="1" x14ac:dyDescent="0.2">
      <c r="A16" s="272" t="s">
        <v>528</v>
      </c>
      <c r="B16" s="272"/>
      <c r="C16" s="135">
        <v>94.44</v>
      </c>
      <c r="D16" s="135">
        <v>0</v>
      </c>
      <c r="E16" s="135">
        <v>10</v>
      </c>
      <c r="F16" s="136">
        <v>2500</v>
      </c>
      <c r="G16" s="135">
        <v>944.4</v>
      </c>
      <c r="H16" s="135">
        <v>0</v>
      </c>
      <c r="I16" s="201">
        <v>9458.1999999999989</v>
      </c>
      <c r="J16" s="135">
        <v>0</v>
      </c>
    </row>
    <row r="17" spans="1:17" ht="14.25" customHeight="1" x14ac:dyDescent="0.2">
      <c r="A17" s="272" t="s">
        <v>529</v>
      </c>
      <c r="B17" s="272"/>
      <c r="C17" s="135">
        <v>56.84</v>
      </c>
      <c r="D17" s="135">
        <v>0</v>
      </c>
      <c r="E17" s="135">
        <v>10</v>
      </c>
      <c r="F17" s="136">
        <v>2500</v>
      </c>
      <c r="G17" s="135">
        <v>568.40000000000009</v>
      </c>
      <c r="H17" s="135">
        <v>0</v>
      </c>
      <c r="I17" s="201">
        <v>10026.599999999999</v>
      </c>
      <c r="J17" s="135">
        <v>0</v>
      </c>
    </row>
    <row r="18" spans="1:17" ht="14.25" customHeight="1" x14ac:dyDescent="0.2">
      <c r="A18" s="272"/>
      <c r="B18" s="272"/>
      <c r="C18" s="135"/>
      <c r="D18" s="135"/>
      <c r="E18" s="135"/>
      <c r="F18" s="136"/>
      <c r="G18" s="135"/>
      <c r="H18" s="135"/>
      <c r="I18" s="137"/>
      <c r="J18" s="135"/>
    </row>
    <row r="19" spans="1:17" ht="14.25" customHeight="1" x14ac:dyDescent="0.2">
      <c r="A19" s="272" t="s">
        <v>582</v>
      </c>
      <c r="B19" s="272"/>
      <c r="C19" s="135">
        <v>0.06</v>
      </c>
      <c r="D19" s="135">
        <v>1.68</v>
      </c>
      <c r="E19" s="135">
        <v>0</v>
      </c>
      <c r="F19" s="136">
        <v>2500</v>
      </c>
      <c r="G19" s="135">
        <v>0</v>
      </c>
      <c r="H19" s="135">
        <v>0</v>
      </c>
      <c r="I19" s="201">
        <v>0</v>
      </c>
      <c r="J19" s="135">
        <v>0</v>
      </c>
    </row>
    <row r="20" spans="1:17" ht="14.25" customHeight="1" x14ac:dyDescent="0.2">
      <c r="A20" s="272" t="s">
        <v>583</v>
      </c>
      <c r="B20" s="272"/>
      <c r="C20" s="135">
        <v>0.14000000000000001</v>
      </c>
      <c r="D20" s="135">
        <v>2.9</v>
      </c>
      <c r="E20" s="135">
        <v>10</v>
      </c>
      <c r="F20" s="136">
        <v>2500</v>
      </c>
      <c r="G20" s="135">
        <v>0.99</v>
      </c>
      <c r="H20" s="135">
        <v>22.89</v>
      </c>
      <c r="I20" s="201">
        <v>0.99</v>
      </c>
      <c r="J20" s="135">
        <v>22.89</v>
      </c>
      <c r="N20" s="138"/>
      <c r="O20" s="139"/>
      <c r="P20" s="139"/>
      <c r="Q20" s="139"/>
    </row>
    <row r="21" spans="1:17" ht="14.25" customHeight="1" x14ac:dyDescent="0.2">
      <c r="A21" s="272" t="s">
        <v>584</v>
      </c>
      <c r="B21" s="272"/>
      <c r="C21" s="135">
        <v>0.4</v>
      </c>
      <c r="D21" s="135">
        <v>2.04</v>
      </c>
      <c r="E21" s="135">
        <v>10</v>
      </c>
      <c r="F21" s="136">
        <v>2500</v>
      </c>
      <c r="G21" s="135">
        <v>2.7</v>
      </c>
      <c r="H21" s="135">
        <v>24.71</v>
      </c>
      <c r="I21" s="201">
        <v>3.6900000000000004</v>
      </c>
      <c r="J21" s="135">
        <v>47.6</v>
      </c>
      <c r="N21" s="138"/>
      <c r="O21" s="139"/>
      <c r="P21" s="139"/>
      <c r="Q21" s="139"/>
    </row>
    <row r="22" spans="1:17" ht="14.25" customHeight="1" x14ac:dyDescent="0.2">
      <c r="A22" s="272" t="s">
        <v>585</v>
      </c>
      <c r="B22" s="272"/>
      <c r="C22" s="135">
        <v>1.05</v>
      </c>
      <c r="D22" s="135">
        <v>2.11</v>
      </c>
      <c r="E22" s="135">
        <v>10</v>
      </c>
      <c r="F22" s="136">
        <v>2500</v>
      </c>
      <c r="G22" s="135">
        <v>7.26</v>
      </c>
      <c r="H22" s="135">
        <v>20.76</v>
      </c>
      <c r="I22" s="201">
        <v>10.95</v>
      </c>
      <c r="J22" s="135">
        <v>68.36</v>
      </c>
      <c r="N22" s="138"/>
      <c r="O22" s="139"/>
      <c r="P22" s="139"/>
      <c r="Q22" s="139"/>
    </row>
    <row r="23" spans="1:17" ht="14.25" customHeight="1" x14ac:dyDescent="0.2">
      <c r="A23" s="272" t="s">
        <v>586</v>
      </c>
      <c r="B23" s="272"/>
      <c r="C23" s="135">
        <v>1.74</v>
      </c>
      <c r="D23" s="135">
        <v>2.42</v>
      </c>
      <c r="E23" s="135">
        <v>10</v>
      </c>
      <c r="F23" s="136">
        <v>2500</v>
      </c>
      <c r="G23" s="135">
        <v>13.97</v>
      </c>
      <c r="H23" s="135">
        <v>22.65</v>
      </c>
      <c r="I23" s="201">
        <v>24.92</v>
      </c>
      <c r="J23" s="135">
        <v>91.009999999999991</v>
      </c>
      <c r="N23" s="138"/>
      <c r="O23" s="139"/>
      <c r="P23" s="139"/>
      <c r="Q23" s="139"/>
    </row>
    <row r="24" spans="1:17" ht="14.25" customHeight="1" x14ac:dyDescent="0.2">
      <c r="A24" s="272" t="s">
        <v>587</v>
      </c>
      <c r="B24" s="272"/>
      <c r="C24" s="135">
        <v>1.84</v>
      </c>
      <c r="D24" s="135">
        <v>2.85</v>
      </c>
      <c r="E24" s="135">
        <v>10</v>
      </c>
      <c r="F24" s="136">
        <v>2500</v>
      </c>
      <c r="G24" s="135">
        <v>17.920000000000002</v>
      </c>
      <c r="H24" s="135">
        <v>26.35</v>
      </c>
      <c r="I24" s="201">
        <v>42.84</v>
      </c>
      <c r="J24" s="135">
        <v>117.35999999999999</v>
      </c>
      <c r="N24" s="138"/>
      <c r="O24" s="139"/>
      <c r="P24" s="139"/>
      <c r="Q24" s="139"/>
    </row>
    <row r="25" spans="1:17" ht="14.25" customHeight="1" x14ac:dyDescent="0.2">
      <c r="A25" s="272" t="s">
        <v>588</v>
      </c>
      <c r="B25" s="272"/>
      <c r="C25" s="135">
        <v>1.72</v>
      </c>
      <c r="D25" s="135">
        <v>3</v>
      </c>
      <c r="E25" s="135">
        <v>10</v>
      </c>
      <c r="F25" s="136">
        <v>2500</v>
      </c>
      <c r="G25" s="135">
        <v>17.79</v>
      </c>
      <c r="H25" s="135">
        <v>29.23</v>
      </c>
      <c r="I25" s="201">
        <v>60.63</v>
      </c>
      <c r="J25" s="135">
        <v>146.58999999999997</v>
      </c>
      <c r="K25" s="10"/>
      <c r="L25" s="10"/>
      <c r="N25" s="138"/>
      <c r="O25" s="139"/>
      <c r="P25" s="139"/>
      <c r="Q25" s="139"/>
    </row>
    <row r="26" spans="1:17" ht="14.25" customHeight="1" x14ac:dyDescent="0.2">
      <c r="A26" s="272" t="s">
        <v>589</v>
      </c>
      <c r="B26" s="272"/>
      <c r="C26" s="135">
        <v>2.0699999999999998</v>
      </c>
      <c r="D26" s="135">
        <v>2.91</v>
      </c>
      <c r="E26" s="135">
        <v>10</v>
      </c>
      <c r="F26" s="136">
        <v>2500</v>
      </c>
      <c r="G26" s="135">
        <v>18.97</v>
      </c>
      <c r="H26" s="135">
        <v>29.52</v>
      </c>
      <c r="I26" s="201">
        <v>79.599999999999994</v>
      </c>
      <c r="J26" s="135">
        <v>176.10999999999999</v>
      </c>
      <c r="K26" s="10"/>
      <c r="L26" s="10"/>
      <c r="N26" s="138"/>
      <c r="O26" s="139"/>
      <c r="P26" s="139"/>
      <c r="Q26" s="139"/>
    </row>
    <row r="27" spans="1:17" ht="14.25" customHeight="1" x14ac:dyDescent="0.2">
      <c r="A27" s="272" t="s">
        <v>590</v>
      </c>
      <c r="B27" s="272"/>
      <c r="C27" s="135">
        <v>2.68</v>
      </c>
      <c r="D27" s="135">
        <v>2.86</v>
      </c>
      <c r="E27" s="135">
        <v>10</v>
      </c>
      <c r="F27" s="136">
        <v>2500</v>
      </c>
      <c r="G27" s="135">
        <v>23.75</v>
      </c>
      <c r="H27" s="135">
        <v>28.83</v>
      </c>
      <c r="I27" s="201">
        <v>103.35</v>
      </c>
      <c r="J27" s="135">
        <v>204.94</v>
      </c>
      <c r="K27" s="10"/>
      <c r="L27" s="10"/>
      <c r="N27" s="138"/>
      <c r="O27" s="139"/>
      <c r="P27" s="139"/>
      <c r="Q27" s="139"/>
    </row>
    <row r="28" spans="1:17" ht="14.25" customHeight="1" x14ac:dyDescent="0.2">
      <c r="A28" s="272" t="s">
        <v>591</v>
      </c>
      <c r="B28" s="272"/>
      <c r="C28" s="135">
        <v>2.14</v>
      </c>
      <c r="D28" s="135">
        <v>2.86</v>
      </c>
      <c r="E28" s="135">
        <v>10</v>
      </c>
      <c r="F28" s="136">
        <v>2500</v>
      </c>
      <c r="G28" s="135">
        <v>24.05</v>
      </c>
      <c r="H28" s="135">
        <v>28.61</v>
      </c>
      <c r="I28" s="201">
        <v>127.39999999999999</v>
      </c>
      <c r="J28" s="135">
        <v>233.55</v>
      </c>
      <c r="K28" s="10"/>
      <c r="L28" s="10"/>
    </row>
    <row r="29" spans="1:17" ht="14.25" customHeight="1" x14ac:dyDescent="0.2">
      <c r="A29" s="272" t="s">
        <v>592</v>
      </c>
      <c r="B29" s="272"/>
      <c r="C29" s="135">
        <v>1.5</v>
      </c>
      <c r="D29" s="135">
        <v>2.94</v>
      </c>
      <c r="E29" s="135">
        <v>10</v>
      </c>
      <c r="F29" s="136">
        <v>2500</v>
      </c>
      <c r="G29" s="135">
        <v>18.170000000000002</v>
      </c>
      <c r="H29" s="135">
        <v>29.01</v>
      </c>
      <c r="I29" s="201">
        <v>145.57</v>
      </c>
      <c r="J29" s="135">
        <v>262.56</v>
      </c>
      <c r="K29" s="10"/>
      <c r="L29" s="10"/>
    </row>
    <row r="30" spans="1:17" ht="14.25" customHeight="1" x14ac:dyDescent="0.2">
      <c r="A30" s="272" t="s">
        <v>593</v>
      </c>
      <c r="B30" s="272"/>
      <c r="C30" s="135">
        <v>1.6</v>
      </c>
      <c r="D30" s="135">
        <v>2.63</v>
      </c>
      <c r="E30" s="135">
        <v>10</v>
      </c>
      <c r="F30" s="136">
        <v>2500</v>
      </c>
      <c r="G30" s="135">
        <v>15.51</v>
      </c>
      <c r="H30" s="135">
        <v>27.86</v>
      </c>
      <c r="I30" s="201">
        <v>161.07999999999998</v>
      </c>
      <c r="J30" s="135">
        <v>290.42</v>
      </c>
      <c r="K30" s="10"/>
      <c r="L30" s="10"/>
    </row>
    <row r="31" spans="1:17" ht="14.25" customHeight="1" x14ac:dyDescent="0.2">
      <c r="A31" s="272" t="s">
        <v>594</v>
      </c>
      <c r="B31" s="272"/>
      <c r="C31" s="135">
        <v>2.04</v>
      </c>
      <c r="D31" s="135">
        <v>2.25</v>
      </c>
      <c r="E31" s="135">
        <v>10</v>
      </c>
      <c r="F31" s="136">
        <v>2500</v>
      </c>
      <c r="G31" s="135">
        <v>18.2</v>
      </c>
      <c r="H31" s="135">
        <v>24.42</v>
      </c>
      <c r="I31" s="201">
        <v>179.27999999999997</v>
      </c>
      <c r="J31" s="135">
        <v>314.84000000000003</v>
      </c>
      <c r="K31" s="10"/>
      <c r="L31" s="10"/>
    </row>
    <row r="32" spans="1:17" ht="14.25" customHeight="1" x14ac:dyDescent="0.2">
      <c r="A32" s="272" t="s">
        <v>595</v>
      </c>
      <c r="B32" s="272"/>
      <c r="C32" s="135">
        <v>2.2000000000000002</v>
      </c>
      <c r="D32" s="135">
        <v>2.13</v>
      </c>
      <c r="E32" s="135">
        <v>10</v>
      </c>
      <c r="F32" s="136">
        <v>2500</v>
      </c>
      <c r="G32" s="135">
        <v>21.2</v>
      </c>
      <c r="H32" s="135">
        <v>21.91</v>
      </c>
      <c r="I32" s="201">
        <v>200.47999999999996</v>
      </c>
      <c r="J32" s="135">
        <v>336.75000000000006</v>
      </c>
      <c r="K32" s="10"/>
      <c r="L32" s="10"/>
      <c r="M32" s="140"/>
      <c r="N32" s="141"/>
    </row>
    <row r="33" spans="1:14" ht="14.25" customHeight="1" x14ac:dyDescent="0.2">
      <c r="A33" s="272" t="s">
        <v>596</v>
      </c>
      <c r="B33" s="272"/>
      <c r="C33" s="135">
        <v>2.11</v>
      </c>
      <c r="D33" s="135">
        <v>2.2000000000000002</v>
      </c>
      <c r="E33" s="135">
        <v>10</v>
      </c>
      <c r="F33" s="136">
        <v>2500</v>
      </c>
      <c r="G33" s="135">
        <v>21.55</v>
      </c>
      <c r="H33" s="135">
        <v>21.63</v>
      </c>
      <c r="I33" s="201">
        <v>222.02999999999997</v>
      </c>
      <c r="J33" s="135">
        <v>358.38000000000005</v>
      </c>
      <c r="K33" s="10"/>
      <c r="L33" s="10"/>
      <c r="M33" s="140"/>
      <c r="N33" s="142"/>
    </row>
    <row r="34" spans="1:14" ht="14.25" customHeight="1" x14ac:dyDescent="0.2">
      <c r="A34" s="272" t="s">
        <v>597</v>
      </c>
      <c r="B34" s="272"/>
      <c r="C34" s="135">
        <v>2.09</v>
      </c>
      <c r="D34" s="135">
        <v>2.2400000000000002</v>
      </c>
      <c r="E34" s="135">
        <v>10</v>
      </c>
      <c r="F34" s="136">
        <v>2500</v>
      </c>
      <c r="G34" s="135">
        <v>20.99</v>
      </c>
      <c r="H34" s="135">
        <v>22.16</v>
      </c>
      <c r="I34" s="201">
        <v>243.01999999999998</v>
      </c>
      <c r="J34" s="135">
        <v>380.54000000000008</v>
      </c>
      <c r="K34" s="10"/>
      <c r="L34" s="10"/>
      <c r="M34" s="140"/>
      <c r="N34" s="142"/>
    </row>
    <row r="35" spans="1:14" ht="14.25" customHeight="1" x14ac:dyDescent="0.2">
      <c r="A35" s="272" t="s">
        <v>598</v>
      </c>
      <c r="B35" s="272"/>
      <c r="C35" s="135">
        <v>2.2799999999999998</v>
      </c>
      <c r="D35" s="135">
        <v>2.38</v>
      </c>
      <c r="E35" s="135">
        <v>10</v>
      </c>
      <c r="F35" s="136">
        <v>2500</v>
      </c>
      <c r="G35" s="135">
        <v>21.85</v>
      </c>
      <c r="H35" s="135">
        <v>23.1</v>
      </c>
      <c r="I35" s="201">
        <v>264.87</v>
      </c>
      <c r="J35" s="135">
        <v>403.6400000000001</v>
      </c>
      <c r="K35" s="10"/>
      <c r="L35" s="10"/>
      <c r="M35" s="140"/>
      <c r="N35" s="142"/>
    </row>
    <row r="36" spans="1:14" ht="14.25" customHeight="1" x14ac:dyDescent="0.2">
      <c r="A36" s="272" t="s">
        <v>599</v>
      </c>
      <c r="B36" s="272"/>
      <c r="C36" s="135">
        <v>2.42</v>
      </c>
      <c r="D36" s="135">
        <v>2.56</v>
      </c>
      <c r="E36" s="135">
        <v>10</v>
      </c>
      <c r="F36" s="136">
        <v>2500</v>
      </c>
      <c r="G36" s="135">
        <v>23.51</v>
      </c>
      <c r="H36" s="135">
        <v>24.7</v>
      </c>
      <c r="I36" s="201">
        <v>288.38</v>
      </c>
      <c r="J36" s="135">
        <v>428.34000000000009</v>
      </c>
      <c r="K36" s="10"/>
      <c r="L36" s="10"/>
      <c r="M36" s="140"/>
      <c r="N36" s="142"/>
    </row>
    <row r="37" spans="1:14" x14ac:dyDescent="0.2">
      <c r="A37" s="272" t="s">
        <v>600</v>
      </c>
      <c r="B37" s="272"/>
      <c r="C37" s="135">
        <v>2.11</v>
      </c>
      <c r="D37" s="135">
        <v>2.78</v>
      </c>
      <c r="E37" s="135">
        <v>10</v>
      </c>
      <c r="F37" s="136">
        <v>2500</v>
      </c>
      <c r="G37" s="135">
        <v>22.69</v>
      </c>
      <c r="H37" s="135">
        <v>26.66</v>
      </c>
      <c r="I37" s="201">
        <v>311.07</v>
      </c>
      <c r="J37" s="135">
        <v>455.00000000000011</v>
      </c>
      <c r="K37" s="10"/>
      <c r="L37" s="10"/>
      <c r="M37" s="140"/>
      <c r="N37" s="142"/>
    </row>
    <row r="38" spans="1:14" x14ac:dyDescent="0.2">
      <c r="A38" s="272" t="s">
        <v>601</v>
      </c>
      <c r="B38" s="272"/>
      <c r="C38" s="135">
        <v>1.7</v>
      </c>
      <c r="D38" s="135">
        <v>2.58</v>
      </c>
      <c r="E38" s="135">
        <v>10</v>
      </c>
      <c r="F38" s="136">
        <v>2500</v>
      </c>
      <c r="G38" s="135">
        <v>19.07</v>
      </c>
      <c r="H38" s="135">
        <v>26.81</v>
      </c>
      <c r="I38" s="201">
        <v>330.14</v>
      </c>
      <c r="J38" s="135">
        <v>481.81000000000012</v>
      </c>
      <c r="K38" s="10"/>
      <c r="L38" s="10"/>
      <c r="M38" s="140"/>
      <c r="N38" s="142"/>
    </row>
    <row r="39" spans="1:14" x14ac:dyDescent="0.2">
      <c r="A39" s="272" t="s">
        <v>602</v>
      </c>
      <c r="B39" s="272"/>
      <c r="C39" s="135">
        <v>1.45</v>
      </c>
      <c r="D39" s="135">
        <v>2.19</v>
      </c>
      <c r="E39" s="135">
        <v>10</v>
      </c>
      <c r="F39" s="136">
        <v>2500</v>
      </c>
      <c r="G39" s="135">
        <v>15.75</v>
      </c>
      <c r="H39" s="135">
        <v>23.89</v>
      </c>
      <c r="I39" s="201">
        <v>345.89</v>
      </c>
      <c r="J39" s="135">
        <v>505.7000000000001</v>
      </c>
      <c r="K39" s="10"/>
      <c r="L39" s="10"/>
      <c r="M39" s="140"/>
      <c r="N39" s="142"/>
    </row>
    <row r="40" spans="1:14" x14ac:dyDescent="0.2">
      <c r="A40" s="272" t="s">
        <v>603</v>
      </c>
      <c r="B40" s="272"/>
      <c r="C40" s="135">
        <v>1.1499999999999999</v>
      </c>
      <c r="D40" s="135">
        <v>2.2000000000000002</v>
      </c>
      <c r="E40" s="135">
        <v>10</v>
      </c>
      <c r="F40" s="136">
        <v>2500</v>
      </c>
      <c r="G40" s="135">
        <v>13</v>
      </c>
      <c r="H40" s="135">
        <v>21.95</v>
      </c>
      <c r="I40" s="201">
        <v>358.89</v>
      </c>
      <c r="J40" s="135">
        <v>527.65000000000009</v>
      </c>
      <c r="K40" s="10"/>
      <c r="L40" s="10"/>
    </row>
    <row r="41" spans="1:14" x14ac:dyDescent="0.2">
      <c r="A41" s="272" t="s">
        <v>604</v>
      </c>
      <c r="B41" s="272"/>
      <c r="C41" s="135">
        <v>0.62</v>
      </c>
      <c r="D41" s="135">
        <v>2.33</v>
      </c>
      <c r="E41" s="135">
        <v>10</v>
      </c>
      <c r="F41" s="136">
        <v>2500</v>
      </c>
      <c r="G41" s="135">
        <v>8.85</v>
      </c>
      <c r="H41" s="135">
        <v>22.64</v>
      </c>
      <c r="I41" s="201">
        <v>367.74</v>
      </c>
      <c r="J41" s="135">
        <v>550.29000000000008</v>
      </c>
      <c r="K41" s="10"/>
      <c r="L41" s="10"/>
    </row>
    <row r="42" spans="1:14" x14ac:dyDescent="0.2">
      <c r="A42" s="272" t="s">
        <v>605</v>
      </c>
      <c r="B42" s="272"/>
      <c r="C42" s="135">
        <v>0.27</v>
      </c>
      <c r="D42" s="135">
        <v>2.4500000000000002</v>
      </c>
      <c r="E42" s="135">
        <v>10</v>
      </c>
      <c r="F42" s="136">
        <v>2500</v>
      </c>
      <c r="G42" s="135">
        <v>4.46</v>
      </c>
      <c r="H42" s="135">
        <v>23.9</v>
      </c>
      <c r="I42" s="201">
        <v>372.2</v>
      </c>
      <c r="J42" s="135">
        <v>574.19000000000005</v>
      </c>
      <c r="K42" s="10"/>
      <c r="L42" s="10"/>
    </row>
    <row r="43" spans="1:14" x14ac:dyDescent="0.2">
      <c r="A43" s="272" t="s">
        <v>606</v>
      </c>
      <c r="B43" s="272"/>
      <c r="C43" s="135">
        <v>0.2</v>
      </c>
      <c r="D43" s="135">
        <v>2.67</v>
      </c>
      <c r="E43" s="135">
        <v>10</v>
      </c>
      <c r="F43" s="136">
        <v>2500</v>
      </c>
      <c r="G43" s="135">
        <v>2.37</v>
      </c>
      <c r="H43" s="135">
        <v>25.59</v>
      </c>
      <c r="I43" s="201">
        <v>374.57</v>
      </c>
      <c r="J43" s="135">
        <v>599.78000000000009</v>
      </c>
      <c r="K43" s="10"/>
      <c r="L43" s="10"/>
    </row>
    <row r="44" spans="1:14" x14ac:dyDescent="0.2">
      <c r="A44" s="272" t="s">
        <v>607</v>
      </c>
      <c r="B44" s="272"/>
      <c r="C44" s="135">
        <v>0.14000000000000001</v>
      </c>
      <c r="D44" s="135">
        <v>2.46</v>
      </c>
      <c r="E44" s="135">
        <v>10</v>
      </c>
      <c r="F44" s="136">
        <v>2500</v>
      </c>
      <c r="G44" s="135">
        <v>1.71</v>
      </c>
      <c r="H44" s="135">
        <v>25.62</v>
      </c>
      <c r="I44" s="201">
        <v>376.28</v>
      </c>
      <c r="J44" s="135">
        <v>625.40000000000009</v>
      </c>
      <c r="K44" s="10"/>
      <c r="L44" s="10"/>
    </row>
    <row r="45" spans="1:14" x14ac:dyDescent="0.2">
      <c r="A45" s="272" t="s">
        <v>608</v>
      </c>
      <c r="B45" s="272"/>
      <c r="C45" s="135">
        <v>0</v>
      </c>
      <c r="D45" s="135">
        <v>2.27</v>
      </c>
      <c r="E45" s="135">
        <v>10</v>
      </c>
      <c r="F45" s="136">
        <v>2500</v>
      </c>
      <c r="G45" s="135">
        <v>0.72</v>
      </c>
      <c r="H45" s="135">
        <v>23.63</v>
      </c>
      <c r="I45" s="201">
        <v>377</v>
      </c>
      <c r="J45" s="135">
        <v>649.03000000000009</v>
      </c>
      <c r="K45" s="10"/>
      <c r="L45" s="10"/>
    </row>
    <row r="46" spans="1:14" x14ac:dyDescent="0.2">
      <c r="A46" s="272" t="s">
        <v>609</v>
      </c>
      <c r="B46" s="272"/>
      <c r="C46" s="135">
        <v>0.05</v>
      </c>
      <c r="D46" s="135">
        <v>2.37</v>
      </c>
      <c r="E46" s="135">
        <v>10</v>
      </c>
      <c r="F46" s="136">
        <v>2500</v>
      </c>
      <c r="G46" s="135">
        <v>0.27</v>
      </c>
      <c r="H46" s="135">
        <v>23.2</v>
      </c>
      <c r="I46" s="201">
        <v>377.27</v>
      </c>
      <c r="J46" s="135">
        <v>672.23000000000013</v>
      </c>
      <c r="K46" s="10"/>
      <c r="L46" s="10"/>
    </row>
    <row r="47" spans="1:14" x14ac:dyDescent="0.2">
      <c r="A47" s="272" t="s">
        <v>610</v>
      </c>
      <c r="B47" s="272"/>
      <c r="C47" s="135">
        <v>0.4</v>
      </c>
      <c r="D47" s="135">
        <v>2.4700000000000002</v>
      </c>
      <c r="E47" s="135">
        <v>10</v>
      </c>
      <c r="F47" s="136">
        <v>2500</v>
      </c>
      <c r="G47" s="135">
        <v>2.27</v>
      </c>
      <c r="H47" s="135">
        <v>24.18</v>
      </c>
      <c r="I47" s="201">
        <v>379.53999999999996</v>
      </c>
      <c r="J47" s="135">
        <v>696.41000000000008</v>
      </c>
      <c r="K47" s="10"/>
      <c r="L47" s="10"/>
    </row>
    <row r="48" spans="1:14" x14ac:dyDescent="0.2">
      <c r="A48" s="272" t="s">
        <v>611</v>
      </c>
      <c r="B48" s="272"/>
      <c r="C48" s="135">
        <v>1.07</v>
      </c>
      <c r="D48" s="135">
        <v>2.7</v>
      </c>
      <c r="E48" s="135">
        <v>10</v>
      </c>
      <c r="F48" s="136">
        <v>2500</v>
      </c>
      <c r="G48" s="135">
        <v>7.39</v>
      </c>
      <c r="H48" s="135">
        <v>25.85</v>
      </c>
      <c r="I48" s="201">
        <v>386.92999999999995</v>
      </c>
      <c r="J48" s="135">
        <v>722.2600000000001</v>
      </c>
      <c r="K48" s="10"/>
      <c r="L48" s="10"/>
    </row>
    <row r="49" spans="1:12" x14ac:dyDescent="0.2">
      <c r="A49" s="272" t="s">
        <v>612</v>
      </c>
      <c r="B49" s="272"/>
      <c r="C49" s="135">
        <v>1.88</v>
      </c>
      <c r="D49" s="135">
        <v>2.6</v>
      </c>
      <c r="E49" s="135">
        <v>10</v>
      </c>
      <c r="F49" s="136">
        <v>2500</v>
      </c>
      <c r="G49" s="135">
        <v>14.77</v>
      </c>
      <c r="H49" s="135">
        <v>26.5</v>
      </c>
      <c r="I49" s="201">
        <v>401.69999999999993</v>
      </c>
      <c r="J49" s="135">
        <v>748.7600000000001</v>
      </c>
      <c r="K49" s="10"/>
      <c r="L49" s="10"/>
    </row>
    <row r="50" spans="1:12" x14ac:dyDescent="0.2">
      <c r="A50" s="272" t="s">
        <v>613</v>
      </c>
      <c r="B50" s="272"/>
      <c r="C50" s="135">
        <v>2.82</v>
      </c>
      <c r="D50" s="135">
        <v>2.3199999999999998</v>
      </c>
      <c r="E50" s="135">
        <v>10</v>
      </c>
      <c r="F50" s="136">
        <v>2500</v>
      </c>
      <c r="G50" s="135">
        <v>23.48</v>
      </c>
      <c r="H50" s="135">
        <v>24.59</v>
      </c>
      <c r="I50" s="201">
        <v>425.17999999999995</v>
      </c>
      <c r="J50" s="135">
        <v>773.35000000000014</v>
      </c>
      <c r="K50" s="10"/>
      <c r="L50" s="10"/>
    </row>
    <row r="51" spans="1:12" x14ac:dyDescent="0.2">
      <c r="A51" s="272" t="s">
        <v>614</v>
      </c>
      <c r="B51" s="272"/>
      <c r="C51" s="135">
        <v>3.78</v>
      </c>
      <c r="D51" s="135">
        <v>2.1800000000000002</v>
      </c>
      <c r="E51" s="135">
        <v>10</v>
      </c>
      <c r="F51" s="136">
        <v>2500</v>
      </c>
      <c r="G51" s="135">
        <v>32.97</v>
      </c>
      <c r="H51" s="135">
        <v>22.52</v>
      </c>
      <c r="I51" s="201">
        <v>458.15</v>
      </c>
      <c r="J51" s="135">
        <v>795.87000000000012</v>
      </c>
      <c r="K51" s="10"/>
      <c r="L51" s="10"/>
    </row>
    <row r="52" spans="1:12" x14ac:dyDescent="0.2">
      <c r="A52" s="272" t="s">
        <v>615</v>
      </c>
      <c r="B52" s="272"/>
      <c r="C52" s="135">
        <v>3.99</v>
      </c>
      <c r="D52" s="135">
        <v>2.34</v>
      </c>
      <c r="E52" s="135">
        <v>10</v>
      </c>
      <c r="F52" s="136">
        <v>2500</v>
      </c>
      <c r="G52" s="135">
        <v>38.86</v>
      </c>
      <c r="H52" s="135">
        <v>22.62</v>
      </c>
      <c r="I52" s="201">
        <v>497.01</v>
      </c>
      <c r="J52" s="135">
        <v>818.49000000000012</v>
      </c>
      <c r="K52" s="10"/>
      <c r="L52" s="10"/>
    </row>
    <row r="53" spans="1:12" x14ac:dyDescent="0.2">
      <c r="A53" s="272" t="s">
        <v>616</v>
      </c>
      <c r="B53" s="272"/>
      <c r="C53" s="135">
        <v>4.3899999999999997</v>
      </c>
      <c r="D53" s="135">
        <v>2.0699999999999998</v>
      </c>
      <c r="E53" s="135">
        <v>10</v>
      </c>
      <c r="F53" s="136">
        <v>2500</v>
      </c>
      <c r="G53" s="135">
        <v>41.93</v>
      </c>
      <c r="H53" s="135">
        <v>22.05</v>
      </c>
      <c r="I53" s="201">
        <v>538.93999999999994</v>
      </c>
      <c r="J53" s="135">
        <v>840.54000000000008</v>
      </c>
      <c r="K53" s="10"/>
      <c r="L53" s="10"/>
    </row>
    <row r="54" spans="1:12" x14ac:dyDescent="0.2">
      <c r="A54" s="272" t="s">
        <v>617</v>
      </c>
      <c r="B54" s="272"/>
      <c r="C54" s="135">
        <v>4.7</v>
      </c>
      <c r="D54" s="135">
        <v>2.0699999999999998</v>
      </c>
      <c r="E54" s="135">
        <v>10</v>
      </c>
      <c r="F54" s="136">
        <v>2500</v>
      </c>
      <c r="G54" s="135">
        <v>45.46</v>
      </c>
      <c r="H54" s="135">
        <v>20.7</v>
      </c>
      <c r="I54" s="201">
        <v>584.4</v>
      </c>
      <c r="J54" s="135">
        <v>861.24000000000012</v>
      </c>
      <c r="K54" s="10"/>
      <c r="L54" s="10"/>
    </row>
    <row r="55" spans="1:12" x14ac:dyDescent="0.2">
      <c r="A55" s="272" t="s">
        <v>618</v>
      </c>
      <c r="B55" s="272"/>
      <c r="C55" s="135">
        <v>5.3</v>
      </c>
      <c r="D55" s="135">
        <v>2.1</v>
      </c>
      <c r="E55" s="135">
        <v>10</v>
      </c>
      <c r="F55" s="136">
        <v>2500</v>
      </c>
      <c r="G55" s="135">
        <v>49.64</v>
      </c>
      <c r="H55" s="135">
        <v>20.85</v>
      </c>
      <c r="I55" s="201">
        <v>634.04</v>
      </c>
      <c r="J55" s="135">
        <v>882.09000000000015</v>
      </c>
      <c r="K55" s="10"/>
      <c r="L55" s="10"/>
    </row>
    <row r="56" spans="1:12" x14ac:dyDescent="0.2">
      <c r="A56" s="272" t="s">
        <v>619</v>
      </c>
      <c r="B56" s="272"/>
      <c r="C56" s="135">
        <v>4.97</v>
      </c>
      <c r="D56" s="135">
        <v>2.27</v>
      </c>
      <c r="E56" s="135">
        <v>10</v>
      </c>
      <c r="F56" s="136">
        <v>2500</v>
      </c>
      <c r="G56" s="135">
        <v>50.97</v>
      </c>
      <c r="H56" s="135">
        <v>21.85</v>
      </c>
      <c r="I56" s="201">
        <v>685.01</v>
      </c>
      <c r="J56" s="135">
        <v>903.94000000000017</v>
      </c>
      <c r="K56" s="10"/>
      <c r="L56" s="10"/>
    </row>
    <row r="57" spans="1:12" x14ac:dyDescent="0.2">
      <c r="A57" s="272" t="s">
        <v>620</v>
      </c>
      <c r="B57" s="272"/>
      <c r="C57" s="135">
        <v>4.68</v>
      </c>
      <c r="D57" s="135">
        <v>2.56</v>
      </c>
      <c r="E57" s="135">
        <v>10</v>
      </c>
      <c r="F57" s="136">
        <v>2500</v>
      </c>
      <c r="G57" s="135">
        <v>48.22</v>
      </c>
      <c r="H57" s="135">
        <v>24.16</v>
      </c>
      <c r="I57" s="201">
        <v>733.23</v>
      </c>
      <c r="J57" s="135">
        <v>928.10000000000014</v>
      </c>
      <c r="K57" s="10"/>
      <c r="L57" s="10"/>
    </row>
    <row r="58" spans="1:12" x14ac:dyDescent="0.2">
      <c r="A58" s="272" t="s">
        <v>621</v>
      </c>
      <c r="B58" s="272"/>
      <c r="C58" s="135">
        <v>4.4400000000000004</v>
      </c>
      <c r="D58" s="135">
        <v>2.56</v>
      </c>
      <c r="E58" s="135">
        <v>10</v>
      </c>
      <c r="F58" s="136">
        <v>2500</v>
      </c>
      <c r="G58" s="135">
        <v>45.6</v>
      </c>
      <c r="H58" s="135">
        <v>25.62</v>
      </c>
      <c r="I58" s="201">
        <v>778.83</v>
      </c>
      <c r="J58" s="135">
        <v>953.72000000000014</v>
      </c>
      <c r="K58" s="10"/>
      <c r="L58" s="10"/>
    </row>
    <row r="59" spans="1:12" x14ac:dyDescent="0.2">
      <c r="A59" s="272" t="s">
        <v>622</v>
      </c>
      <c r="B59" s="272"/>
      <c r="C59" s="135">
        <v>3.5</v>
      </c>
      <c r="D59" s="135">
        <v>2.63</v>
      </c>
      <c r="E59" s="135">
        <v>10</v>
      </c>
      <c r="F59" s="136">
        <v>2500</v>
      </c>
      <c r="G59" s="135">
        <v>39.700000000000003</v>
      </c>
      <c r="H59" s="135">
        <v>25.97</v>
      </c>
      <c r="I59" s="201">
        <v>818.53000000000009</v>
      </c>
      <c r="J59" s="135">
        <v>979.69000000000017</v>
      </c>
      <c r="K59" s="10"/>
      <c r="L59" s="10"/>
    </row>
    <row r="60" spans="1:12" x14ac:dyDescent="0.2">
      <c r="A60" s="272" t="s">
        <v>623</v>
      </c>
      <c r="B60" s="272"/>
      <c r="C60" s="135">
        <v>3.01</v>
      </c>
      <c r="D60" s="135">
        <v>2.9</v>
      </c>
      <c r="E60" s="135">
        <v>10</v>
      </c>
      <c r="F60" s="136">
        <v>2500</v>
      </c>
      <c r="G60" s="135">
        <v>32.549999999999997</v>
      </c>
      <c r="H60" s="135">
        <v>27.63</v>
      </c>
      <c r="I60" s="201">
        <v>851.08</v>
      </c>
      <c r="J60" s="135">
        <v>1007.3200000000002</v>
      </c>
      <c r="K60" s="10"/>
      <c r="L60" s="10"/>
    </row>
    <row r="61" spans="1:12" x14ac:dyDescent="0.2">
      <c r="A61" s="272" t="s">
        <v>624</v>
      </c>
      <c r="B61" s="272"/>
      <c r="C61" s="135">
        <v>3.28</v>
      </c>
      <c r="D61" s="135">
        <v>3.19</v>
      </c>
      <c r="E61" s="135">
        <v>10</v>
      </c>
      <c r="F61" s="136">
        <v>2500</v>
      </c>
      <c r="G61" s="135">
        <v>31.49</v>
      </c>
      <c r="H61" s="135">
        <v>30.43</v>
      </c>
      <c r="I61" s="201">
        <v>882.57</v>
      </c>
      <c r="J61" s="135">
        <v>1037.7500000000002</v>
      </c>
      <c r="K61" s="10"/>
    </row>
    <row r="62" spans="1:12" x14ac:dyDescent="0.2">
      <c r="A62" s="272" t="s">
        <v>625</v>
      </c>
      <c r="B62" s="272"/>
      <c r="C62" s="135">
        <v>3.31</v>
      </c>
      <c r="D62" s="135">
        <v>3.19</v>
      </c>
      <c r="E62" s="135">
        <v>10</v>
      </c>
      <c r="F62" s="136">
        <v>2500</v>
      </c>
      <c r="G62" s="135">
        <v>32.950000000000003</v>
      </c>
      <c r="H62" s="135">
        <v>31.87</v>
      </c>
      <c r="I62" s="201">
        <v>915.5200000000001</v>
      </c>
      <c r="J62" s="135">
        <v>1069.6200000000001</v>
      </c>
    </row>
    <row r="63" spans="1:12" x14ac:dyDescent="0.2">
      <c r="A63" s="272" t="s">
        <v>626</v>
      </c>
      <c r="B63" s="272"/>
      <c r="C63" s="135">
        <v>3.58</v>
      </c>
      <c r="D63" s="135">
        <v>3.69</v>
      </c>
      <c r="E63" s="135">
        <v>10</v>
      </c>
      <c r="F63" s="136">
        <v>2500</v>
      </c>
      <c r="G63" s="135">
        <v>34.409999999999997</v>
      </c>
      <c r="H63" s="135">
        <v>34.4</v>
      </c>
      <c r="I63" s="201">
        <v>949.93000000000006</v>
      </c>
      <c r="J63" s="135">
        <v>1104.0200000000002</v>
      </c>
    </row>
    <row r="64" spans="1:12" x14ac:dyDescent="0.2">
      <c r="A64" s="272" t="s">
        <v>627</v>
      </c>
      <c r="B64" s="272"/>
      <c r="C64" s="135">
        <v>2.98</v>
      </c>
      <c r="D64" s="135">
        <v>3.77</v>
      </c>
      <c r="E64" s="135">
        <v>10</v>
      </c>
      <c r="F64" s="136">
        <v>2500</v>
      </c>
      <c r="G64" s="135">
        <v>32.79</v>
      </c>
      <c r="H64" s="135">
        <v>37.33</v>
      </c>
      <c r="I64" s="201">
        <v>982.72</v>
      </c>
      <c r="J64" s="135">
        <v>1141.3500000000001</v>
      </c>
    </row>
    <row r="65" spans="1:10" x14ac:dyDescent="0.2">
      <c r="A65" s="272" t="s">
        <v>628</v>
      </c>
      <c r="B65" s="272"/>
      <c r="C65" s="135">
        <v>2.52</v>
      </c>
      <c r="D65" s="135">
        <v>3.46</v>
      </c>
      <c r="E65" s="135">
        <v>10</v>
      </c>
      <c r="F65" s="136">
        <v>2500</v>
      </c>
      <c r="G65" s="135">
        <v>27.48</v>
      </c>
      <c r="H65" s="135">
        <v>36.130000000000003</v>
      </c>
      <c r="I65" s="201">
        <v>1010.2</v>
      </c>
      <c r="J65" s="135">
        <v>1177.4800000000002</v>
      </c>
    </row>
    <row r="66" spans="1:10" x14ac:dyDescent="0.2">
      <c r="A66" s="272" t="s">
        <v>629</v>
      </c>
      <c r="B66" s="272"/>
      <c r="C66" s="135">
        <v>1.57</v>
      </c>
      <c r="D66" s="135">
        <v>3.16</v>
      </c>
      <c r="E66" s="135">
        <v>10</v>
      </c>
      <c r="F66" s="136">
        <v>2500</v>
      </c>
      <c r="G66" s="135">
        <v>20.440000000000001</v>
      </c>
      <c r="H66" s="135">
        <v>33.08</v>
      </c>
      <c r="I66" s="201">
        <v>1030.6400000000001</v>
      </c>
      <c r="J66" s="135">
        <v>1210.5600000000002</v>
      </c>
    </row>
    <row r="67" spans="1:10" x14ac:dyDescent="0.2">
      <c r="A67" s="272" t="s">
        <v>630</v>
      </c>
      <c r="B67" s="272"/>
      <c r="C67" s="135">
        <v>0.83</v>
      </c>
      <c r="D67" s="135">
        <v>3.58</v>
      </c>
      <c r="E67" s="135">
        <v>10</v>
      </c>
      <c r="F67" s="136">
        <v>2500</v>
      </c>
      <c r="G67" s="135">
        <v>12</v>
      </c>
      <c r="H67" s="135">
        <v>33.71</v>
      </c>
      <c r="I67" s="201">
        <v>1042.6400000000001</v>
      </c>
      <c r="J67" s="135">
        <v>1244.2700000000002</v>
      </c>
    </row>
    <row r="68" spans="1:10" x14ac:dyDescent="0.2">
      <c r="A68" s="272" t="s">
        <v>631</v>
      </c>
      <c r="B68" s="272"/>
      <c r="C68" s="135">
        <v>0.89</v>
      </c>
      <c r="D68" s="135">
        <v>3.46</v>
      </c>
      <c r="E68" s="135">
        <v>10</v>
      </c>
      <c r="F68" s="136">
        <v>2500</v>
      </c>
      <c r="G68" s="135">
        <v>8.61</v>
      </c>
      <c r="H68" s="135">
        <v>35.22</v>
      </c>
      <c r="I68" s="201">
        <v>1051.25</v>
      </c>
      <c r="J68" s="135">
        <v>1279.4900000000002</v>
      </c>
    </row>
    <row r="69" spans="1:10" x14ac:dyDescent="0.2">
      <c r="A69" s="272" t="s">
        <v>632</v>
      </c>
      <c r="B69" s="272"/>
      <c r="C69" s="135">
        <v>1.5</v>
      </c>
      <c r="D69" s="135">
        <v>2.96</v>
      </c>
      <c r="E69" s="135">
        <v>10</v>
      </c>
      <c r="F69" s="136">
        <v>2500</v>
      </c>
      <c r="G69" s="135">
        <v>11.95</v>
      </c>
      <c r="H69" s="135">
        <v>32.14</v>
      </c>
      <c r="I69" s="201">
        <v>1063.2</v>
      </c>
      <c r="J69" s="135">
        <v>1311.6300000000003</v>
      </c>
    </row>
    <row r="70" spans="1:10" x14ac:dyDescent="0.2">
      <c r="A70" s="272" t="s">
        <v>633</v>
      </c>
      <c r="B70" s="272"/>
      <c r="C70" s="135">
        <v>1.74</v>
      </c>
      <c r="D70" s="135">
        <v>3.06</v>
      </c>
      <c r="E70" s="135">
        <v>10</v>
      </c>
      <c r="F70" s="136">
        <v>2500</v>
      </c>
      <c r="G70" s="135">
        <v>16.170000000000002</v>
      </c>
      <c r="H70" s="135">
        <v>30.1</v>
      </c>
      <c r="I70" s="201">
        <v>1079.3700000000001</v>
      </c>
      <c r="J70" s="135">
        <v>1341.7300000000002</v>
      </c>
    </row>
    <row r="71" spans="1:10" x14ac:dyDescent="0.2">
      <c r="A71" s="272" t="s">
        <v>634</v>
      </c>
      <c r="B71" s="272"/>
      <c r="C71" s="135">
        <v>1.67</v>
      </c>
      <c r="D71" s="135">
        <v>3.14</v>
      </c>
      <c r="E71" s="135">
        <v>10</v>
      </c>
      <c r="F71" s="136">
        <v>2500</v>
      </c>
      <c r="G71" s="135">
        <v>17.03</v>
      </c>
      <c r="H71" s="135">
        <v>30.99</v>
      </c>
      <c r="I71" s="201">
        <v>1096.4000000000001</v>
      </c>
      <c r="J71" s="135">
        <v>1372.7200000000003</v>
      </c>
    </row>
    <row r="72" spans="1:10" x14ac:dyDescent="0.2">
      <c r="A72" s="272" t="s">
        <v>635</v>
      </c>
      <c r="B72" s="272"/>
      <c r="C72" s="135">
        <v>2.14</v>
      </c>
      <c r="D72" s="135">
        <v>3.02</v>
      </c>
      <c r="E72" s="135">
        <v>10</v>
      </c>
      <c r="F72" s="136">
        <v>2500</v>
      </c>
      <c r="G72" s="135">
        <v>19.05</v>
      </c>
      <c r="H72" s="135">
        <v>30.81</v>
      </c>
      <c r="I72" s="201">
        <v>1115.45</v>
      </c>
      <c r="J72" s="135">
        <v>1403.5300000000002</v>
      </c>
    </row>
    <row r="73" spans="1:10" x14ac:dyDescent="0.2">
      <c r="A73" s="272" t="s">
        <v>636</v>
      </c>
      <c r="B73" s="272"/>
      <c r="C73" s="135">
        <v>2.96</v>
      </c>
      <c r="D73" s="135">
        <v>3.28</v>
      </c>
      <c r="E73" s="135">
        <v>10</v>
      </c>
      <c r="F73" s="136">
        <v>2500</v>
      </c>
      <c r="G73" s="135">
        <v>25.54</v>
      </c>
      <c r="H73" s="135">
        <v>31.48</v>
      </c>
      <c r="I73" s="201">
        <v>1140.99</v>
      </c>
      <c r="J73" s="135">
        <v>1435.0100000000002</v>
      </c>
    </row>
    <row r="74" spans="1:10" x14ac:dyDescent="0.2">
      <c r="A74" s="272" t="s">
        <v>637</v>
      </c>
      <c r="B74" s="272"/>
      <c r="C74" s="135">
        <v>3.69</v>
      </c>
      <c r="D74" s="135">
        <v>3.62</v>
      </c>
      <c r="E74" s="135">
        <v>10</v>
      </c>
      <c r="F74" s="136">
        <v>2500</v>
      </c>
      <c r="G74" s="135">
        <v>33.26</v>
      </c>
      <c r="H74" s="135">
        <v>34.49</v>
      </c>
      <c r="I74" s="201">
        <v>1174.25</v>
      </c>
      <c r="J74" s="135">
        <v>1469.5000000000002</v>
      </c>
    </row>
    <row r="75" spans="1:10" x14ac:dyDescent="0.2">
      <c r="A75" s="272" t="s">
        <v>638</v>
      </c>
      <c r="B75" s="272"/>
      <c r="C75" s="135">
        <v>3.75</v>
      </c>
      <c r="D75" s="135">
        <v>3.78</v>
      </c>
      <c r="E75" s="135">
        <v>10</v>
      </c>
      <c r="F75" s="136">
        <v>2500</v>
      </c>
      <c r="G75" s="135">
        <v>37.19</v>
      </c>
      <c r="H75" s="135">
        <v>36.99</v>
      </c>
      <c r="I75" s="201">
        <v>1211.44</v>
      </c>
      <c r="J75" s="135">
        <v>1506.4900000000002</v>
      </c>
    </row>
    <row r="76" spans="1:10" x14ac:dyDescent="0.2">
      <c r="A76" s="272" t="s">
        <v>639</v>
      </c>
      <c r="B76" s="272"/>
      <c r="C76" s="135">
        <v>3.76</v>
      </c>
      <c r="D76" s="135">
        <v>2.76</v>
      </c>
      <c r="E76" s="135">
        <v>10</v>
      </c>
      <c r="F76" s="136">
        <v>2500</v>
      </c>
      <c r="G76" s="135">
        <v>37.520000000000003</v>
      </c>
      <c r="H76" s="135">
        <v>32.71</v>
      </c>
      <c r="I76" s="201">
        <v>1248.96</v>
      </c>
      <c r="J76" s="135">
        <v>1539.2000000000003</v>
      </c>
    </row>
    <row r="77" spans="1:10" x14ac:dyDescent="0.2">
      <c r="A77" s="272" t="s">
        <v>640</v>
      </c>
      <c r="B77" s="272"/>
      <c r="C77" s="135">
        <v>2.64</v>
      </c>
      <c r="D77" s="135">
        <v>2.9</v>
      </c>
      <c r="E77" s="135">
        <v>10</v>
      </c>
      <c r="F77" s="136">
        <v>2500</v>
      </c>
      <c r="G77" s="135">
        <v>31.99</v>
      </c>
      <c r="H77" s="135">
        <v>28.31</v>
      </c>
      <c r="I77" s="201">
        <v>1280.95</v>
      </c>
      <c r="J77" s="135">
        <v>1567.5100000000002</v>
      </c>
    </row>
    <row r="78" spans="1:10" x14ac:dyDescent="0.2">
      <c r="A78" s="272" t="s">
        <v>641</v>
      </c>
      <c r="B78" s="272"/>
      <c r="C78" s="135">
        <v>2.0099999999999998</v>
      </c>
      <c r="D78" s="135">
        <v>3.38</v>
      </c>
      <c r="E78" s="135">
        <v>10</v>
      </c>
      <c r="F78" s="136">
        <v>2500</v>
      </c>
      <c r="G78" s="135">
        <v>23.28</v>
      </c>
      <c r="H78" s="135">
        <v>31.41</v>
      </c>
      <c r="I78" s="201">
        <v>1304.23</v>
      </c>
      <c r="J78" s="135">
        <v>1598.9200000000003</v>
      </c>
    </row>
    <row r="79" spans="1:10" x14ac:dyDescent="0.2">
      <c r="A79" s="272" t="s">
        <v>642</v>
      </c>
      <c r="B79" s="272"/>
      <c r="C79" s="135">
        <v>1.5</v>
      </c>
      <c r="D79" s="135">
        <v>3.57</v>
      </c>
      <c r="E79" s="135">
        <v>10</v>
      </c>
      <c r="F79" s="136">
        <v>2500</v>
      </c>
      <c r="G79" s="135">
        <v>17.54</v>
      </c>
      <c r="H79" s="135">
        <v>34.79</v>
      </c>
      <c r="I79" s="201">
        <v>1321.77</v>
      </c>
      <c r="J79" s="135">
        <v>1633.7100000000003</v>
      </c>
    </row>
    <row r="80" spans="1:10" x14ac:dyDescent="0.2">
      <c r="A80" s="272" t="s">
        <v>643</v>
      </c>
      <c r="B80" s="272"/>
      <c r="C80" s="135">
        <v>1.27</v>
      </c>
      <c r="D80" s="135">
        <v>3.21</v>
      </c>
      <c r="E80" s="135">
        <v>10</v>
      </c>
      <c r="F80" s="136">
        <v>2500</v>
      </c>
      <c r="G80" s="135">
        <v>13.82</v>
      </c>
      <c r="H80" s="135">
        <v>33.92</v>
      </c>
      <c r="I80" s="201">
        <v>1335.59</v>
      </c>
      <c r="J80" s="135">
        <v>1667.6300000000003</v>
      </c>
    </row>
    <row r="81" spans="1:10" x14ac:dyDescent="0.2">
      <c r="A81" s="272" t="s">
        <v>644</v>
      </c>
      <c r="B81" s="272"/>
      <c r="C81" s="135">
        <v>1.53</v>
      </c>
      <c r="D81" s="135">
        <v>3.1</v>
      </c>
      <c r="E81" s="135">
        <v>10</v>
      </c>
      <c r="F81" s="136">
        <v>2500</v>
      </c>
      <c r="G81" s="135">
        <v>13.97</v>
      </c>
      <c r="H81" s="135">
        <v>31.56</v>
      </c>
      <c r="I81" s="201">
        <v>1349.56</v>
      </c>
      <c r="J81" s="135">
        <v>1699.1900000000003</v>
      </c>
    </row>
    <row r="82" spans="1:10" x14ac:dyDescent="0.2">
      <c r="A82" s="272" t="s">
        <v>645</v>
      </c>
      <c r="B82" s="272"/>
      <c r="C82" s="135">
        <v>1.37</v>
      </c>
      <c r="D82" s="135">
        <v>2.95</v>
      </c>
      <c r="E82" s="135">
        <v>10</v>
      </c>
      <c r="F82" s="136">
        <v>2500</v>
      </c>
      <c r="G82" s="135">
        <v>14.47</v>
      </c>
      <c r="H82" s="135">
        <v>30.28</v>
      </c>
      <c r="I82" s="201">
        <v>1364.03</v>
      </c>
      <c r="J82" s="135">
        <v>1729.4700000000003</v>
      </c>
    </row>
    <row r="83" spans="1:10" x14ac:dyDescent="0.2">
      <c r="A83" s="272" t="s">
        <v>646</v>
      </c>
      <c r="B83" s="272"/>
      <c r="C83" s="135">
        <v>0.68</v>
      </c>
      <c r="D83" s="135">
        <v>3.07</v>
      </c>
      <c r="E83" s="135">
        <v>10</v>
      </c>
      <c r="F83" s="136">
        <v>2500</v>
      </c>
      <c r="G83" s="135">
        <v>10.25</v>
      </c>
      <c r="H83" s="135">
        <v>30.13</v>
      </c>
      <c r="I83" s="201">
        <v>1374.28</v>
      </c>
      <c r="J83" s="135">
        <v>1759.6000000000004</v>
      </c>
    </row>
    <row r="84" spans="1:10" x14ac:dyDescent="0.2">
      <c r="A84" s="272" t="s">
        <v>647</v>
      </c>
      <c r="B84" s="272"/>
      <c r="C84" s="135">
        <v>0.22</v>
      </c>
      <c r="D84" s="135">
        <v>3.35</v>
      </c>
      <c r="E84" s="135">
        <v>10</v>
      </c>
      <c r="F84" s="136">
        <v>2500</v>
      </c>
      <c r="G84" s="135">
        <v>4.53</v>
      </c>
      <c r="H84" s="135">
        <v>32.119999999999997</v>
      </c>
      <c r="I84" s="201">
        <v>1378.81</v>
      </c>
      <c r="J84" s="135">
        <v>1791.7200000000003</v>
      </c>
    </row>
    <row r="85" spans="1:10" x14ac:dyDescent="0.2">
      <c r="A85" s="272" t="s">
        <v>648</v>
      </c>
      <c r="B85" s="272"/>
      <c r="C85" s="135">
        <v>0.03</v>
      </c>
      <c r="D85" s="135">
        <v>3.4</v>
      </c>
      <c r="E85" s="135">
        <v>10</v>
      </c>
      <c r="F85" s="136">
        <v>2500</v>
      </c>
      <c r="G85" s="135">
        <v>1.28</v>
      </c>
      <c r="H85" s="135">
        <v>33.76</v>
      </c>
      <c r="I85" s="201">
        <v>1380.09</v>
      </c>
      <c r="J85" s="135">
        <v>1825.4800000000002</v>
      </c>
    </row>
    <row r="86" spans="1:10" ht="14.25" customHeight="1" x14ac:dyDescent="0.2">
      <c r="A86" s="284"/>
      <c r="B86" s="284"/>
      <c r="C86" s="143"/>
      <c r="D86" s="143"/>
      <c r="E86" s="143"/>
      <c r="F86" s="143"/>
      <c r="G86" s="143"/>
      <c r="H86" s="144"/>
      <c r="I86" s="143"/>
      <c r="J86" s="143"/>
    </row>
    <row r="87" spans="1:10" x14ac:dyDescent="0.2">
      <c r="G87" s="151"/>
      <c r="H87" s="283" t="s">
        <v>542</v>
      </c>
      <c r="I87" s="283"/>
      <c r="J87" s="153">
        <f>SUM(H7:H86)</f>
        <v>1825.4800000000002</v>
      </c>
    </row>
    <row r="88" spans="1:10" ht="24" customHeight="1" x14ac:dyDescent="0.2">
      <c r="G88" s="280" t="s">
        <v>543</v>
      </c>
      <c r="H88" s="281"/>
      <c r="I88" s="282"/>
      <c r="J88" s="152">
        <f>SUM(G7:G86)</f>
        <v>11406.690000000002</v>
      </c>
    </row>
    <row r="91" spans="1:10" x14ac:dyDescent="0.2">
      <c r="A91" s="277" t="s">
        <v>530</v>
      </c>
      <c r="B91" s="277"/>
      <c r="C91" s="277"/>
      <c r="D91" s="277"/>
      <c r="E91" s="277"/>
      <c r="F91" s="277"/>
      <c r="G91" s="277"/>
      <c r="H91" s="277"/>
      <c r="I91" s="277"/>
      <c r="J91" s="277"/>
    </row>
    <row r="92" spans="1:10" x14ac:dyDescent="0.2">
      <c r="A92" s="277"/>
      <c r="B92" s="277"/>
      <c r="C92" s="277"/>
      <c r="D92" s="277"/>
      <c r="E92" s="277"/>
      <c r="F92" s="277"/>
      <c r="G92" s="277"/>
      <c r="H92" s="277"/>
      <c r="I92" s="277"/>
      <c r="J92" s="277"/>
    </row>
    <row r="93" spans="1:10" x14ac:dyDescent="0.2">
      <c r="A93" s="279" t="s">
        <v>16</v>
      </c>
      <c r="B93" s="279"/>
      <c r="C93" s="279"/>
      <c r="D93" s="279"/>
      <c r="E93" s="145" t="s">
        <v>539</v>
      </c>
      <c r="F93" s="145" t="s">
        <v>541</v>
      </c>
      <c r="G93" s="146"/>
      <c r="H93" s="146"/>
      <c r="I93" s="147"/>
      <c r="J93" s="146"/>
    </row>
    <row r="94" spans="1:10" x14ac:dyDescent="0.2">
      <c r="A94" s="276" t="s">
        <v>531</v>
      </c>
      <c r="B94" s="276"/>
      <c r="C94" s="276"/>
      <c r="D94" s="276"/>
      <c r="E94" s="149">
        <f>SUMIF($F$7:$F$85,50,$G$7:$G$86)</f>
        <v>7596.5</v>
      </c>
      <c r="F94" s="149"/>
    </row>
    <row r="95" spans="1:10" x14ac:dyDescent="0.2">
      <c r="A95" s="276" t="s">
        <v>532</v>
      </c>
      <c r="B95" s="276"/>
      <c r="C95" s="276"/>
      <c r="D95" s="276"/>
      <c r="E95" s="149">
        <f>SUMIF($F$7:$F$86,200,$G$7:$G$86)</f>
        <v>0</v>
      </c>
      <c r="F95" s="149"/>
    </row>
    <row r="96" spans="1:10" x14ac:dyDescent="0.2">
      <c r="A96" s="276" t="s">
        <v>533</v>
      </c>
      <c r="B96" s="276"/>
      <c r="C96" s="276"/>
      <c r="D96" s="276"/>
      <c r="E96" s="149">
        <f>SUMIF($F$7:$F$86,400,$G$7:$G$86)</f>
        <v>420.79999999999995</v>
      </c>
      <c r="F96" s="149"/>
    </row>
    <row r="97" spans="1:6" x14ac:dyDescent="0.2">
      <c r="A97" s="276" t="s">
        <v>534</v>
      </c>
      <c r="B97" s="276"/>
      <c r="C97" s="276"/>
      <c r="D97" s="276"/>
      <c r="E97" s="149">
        <f>SUMIF($F$7:$F$86,600,$G$7:$G$86)</f>
        <v>0</v>
      </c>
      <c r="F97" s="149"/>
    </row>
    <row r="98" spans="1:6" x14ac:dyDescent="0.2">
      <c r="A98" s="276" t="s">
        <v>535</v>
      </c>
      <c r="B98" s="276"/>
      <c r="C98" s="276"/>
      <c r="D98" s="276"/>
      <c r="E98" s="149">
        <f>SUMIF($F$7:$F$86,800,$G$7:$G$86)</f>
        <v>0</v>
      </c>
      <c r="F98" s="149"/>
    </row>
    <row r="99" spans="1:6" x14ac:dyDescent="0.2">
      <c r="A99" s="276" t="s">
        <v>536</v>
      </c>
      <c r="B99" s="276"/>
      <c r="C99" s="276"/>
      <c r="D99" s="276"/>
      <c r="E99" s="149">
        <f>SUMIF($F$7:$F$86,1000,$G$7:$G$86)</f>
        <v>0</v>
      </c>
      <c r="F99" s="149"/>
    </row>
    <row r="100" spans="1:6" x14ac:dyDescent="0.2">
      <c r="A100" s="276" t="s">
        <v>537</v>
      </c>
      <c r="B100" s="276"/>
      <c r="C100" s="276"/>
      <c r="D100" s="276"/>
      <c r="E100" s="149">
        <f>SUMIF($F$7:$F$86,1200,$G$7:$G$86)</f>
        <v>293.29999999999995</v>
      </c>
      <c r="F100" s="149"/>
    </row>
    <row r="101" spans="1:6" x14ac:dyDescent="0.2">
      <c r="A101" s="276" t="s">
        <v>538</v>
      </c>
      <c r="B101" s="276"/>
      <c r="C101" s="276"/>
      <c r="D101" s="276"/>
      <c r="E101" s="149">
        <f>SUMIF($F$7:$F$86,2500,$G$7:$G$86)</f>
        <v>3096.0899999999992</v>
      </c>
      <c r="F101" s="149"/>
    </row>
    <row r="102" spans="1:6" x14ac:dyDescent="0.2">
      <c r="A102" s="278" t="s">
        <v>485</v>
      </c>
      <c r="B102" s="278"/>
      <c r="C102" s="278"/>
      <c r="D102" s="278"/>
      <c r="E102" s="150">
        <f>SUM(E94:F101)</f>
        <v>11406.689999999999</v>
      </c>
      <c r="F102" s="150"/>
    </row>
    <row r="103" spans="1:6" x14ac:dyDescent="0.2">
      <c r="F103" s="148"/>
    </row>
    <row r="104" spans="1:6" x14ac:dyDescent="0.2">
      <c r="A104" s="274" t="s">
        <v>544</v>
      </c>
      <c r="B104" s="275"/>
      <c r="C104" s="275"/>
      <c r="D104" s="275"/>
      <c r="E104" s="92">
        <f>J87</f>
        <v>1825.4800000000002</v>
      </c>
      <c r="F104" s="92">
        <f>E104*1.15</f>
        <v>2099.3020000000001</v>
      </c>
    </row>
  </sheetData>
  <mergeCells count="112">
    <mergeCell ref="A104:D104"/>
    <mergeCell ref="A99:D99"/>
    <mergeCell ref="E5:E6"/>
    <mergeCell ref="A91:J92"/>
    <mergeCell ref="A94:D94"/>
    <mergeCell ref="A95:D95"/>
    <mergeCell ref="A96:D96"/>
    <mergeCell ref="A98:D98"/>
    <mergeCell ref="A100:D100"/>
    <mergeCell ref="A101:D101"/>
    <mergeCell ref="A102:D102"/>
    <mergeCell ref="A97:D97"/>
    <mergeCell ref="A93:D93"/>
    <mergeCell ref="G88:I88"/>
    <mergeCell ref="H87:I87"/>
    <mergeCell ref="A86:B86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7:B7"/>
    <mergeCell ref="A3:B3"/>
    <mergeCell ref="C3:F3"/>
    <mergeCell ref="G3:I3"/>
    <mergeCell ref="A4:B4"/>
    <mergeCell ref="C4:F4"/>
    <mergeCell ref="G4:I4"/>
    <mergeCell ref="A14:B14"/>
    <mergeCell ref="A15:B15"/>
    <mergeCell ref="A1:C1"/>
    <mergeCell ref="D1:H1"/>
    <mergeCell ref="I1:J1"/>
    <mergeCell ref="A2:B2"/>
    <mergeCell ref="C2:F2"/>
    <mergeCell ref="G2:I2"/>
    <mergeCell ref="A5:B6"/>
    <mergeCell ref="C5:D5"/>
    <mergeCell ref="F5:F6"/>
    <mergeCell ref="G5:H5"/>
    <mergeCell ref="I5:J5"/>
  </mergeCells>
  <pageMargins left="0.7" right="0.7" top="0.75" bottom="0.75" header="0.3" footer="0.3"/>
  <pageSetup paperSize="9" scale="6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7485-C7ED-4801-B3B2-93549D0EF753}">
  <dimension ref="A4:J98"/>
  <sheetViews>
    <sheetView view="pageBreakPreview" zoomScale="60" zoomScaleNormal="70" workbookViewId="0">
      <selection activeCell="A5" sqref="A5:I6"/>
    </sheetView>
  </sheetViews>
  <sheetFormatPr defaultRowHeight="15" x14ac:dyDescent="0.25"/>
  <cols>
    <col min="1" max="1" width="42" style="204" customWidth="1"/>
    <col min="2" max="2" width="43.33203125" style="204" customWidth="1"/>
    <col min="3" max="3" width="23.6640625" style="204" customWidth="1"/>
    <col min="4" max="4" width="17.33203125" style="204" customWidth="1"/>
    <col min="5" max="5" width="6.83203125" style="204" hidden="1" customWidth="1"/>
    <col min="6" max="6" width="7.5" style="204" hidden="1" customWidth="1"/>
    <col min="7" max="7" width="7.1640625" style="204" hidden="1" customWidth="1"/>
    <col min="8" max="8" width="7" style="204" hidden="1" customWidth="1"/>
    <col min="9" max="9" width="0.83203125" style="204" hidden="1" customWidth="1"/>
    <col min="10" max="10" width="26.5" style="213" customWidth="1"/>
    <col min="11" max="16384" width="9.33203125" style="204"/>
  </cols>
  <sheetData>
    <row r="4" spans="1:10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</row>
    <row r="5" spans="1:10" x14ac:dyDescent="0.25">
      <c r="A5" s="286" t="s">
        <v>649</v>
      </c>
      <c r="B5" s="286" t="s">
        <v>650</v>
      </c>
      <c r="C5" s="288" t="s">
        <v>651</v>
      </c>
      <c r="D5" s="289" t="s">
        <v>652</v>
      </c>
      <c r="E5" s="290"/>
      <c r="F5" s="290"/>
      <c r="G5" s="290"/>
      <c r="H5" s="290"/>
      <c r="I5" s="290"/>
      <c r="J5" s="206"/>
    </row>
    <row r="6" spans="1:10" x14ac:dyDescent="0.25">
      <c r="A6" s="287"/>
      <c r="B6" s="287"/>
      <c r="C6" s="288"/>
      <c r="D6" s="205" t="s">
        <v>653</v>
      </c>
      <c r="E6" s="205">
        <v>1</v>
      </c>
      <c r="F6" s="205">
        <v>2</v>
      </c>
      <c r="G6" s="205">
        <v>3</v>
      </c>
      <c r="H6" s="205">
        <v>4</v>
      </c>
      <c r="I6" s="205">
        <v>5</v>
      </c>
      <c r="J6" s="205" t="s">
        <v>654</v>
      </c>
    </row>
    <row r="7" spans="1:10" ht="18.75" x14ac:dyDescent="0.3">
      <c r="A7" s="207" t="s">
        <v>655</v>
      </c>
      <c r="B7" s="208" t="s">
        <v>661</v>
      </c>
      <c r="C7" s="209">
        <v>540723</v>
      </c>
      <c r="D7" s="210">
        <v>45610</v>
      </c>
      <c r="E7" s="211"/>
      <c r="F7" s="211"/>
      <c r="G7" s="211"/>
      <c r="H7" s="211"/>
      <c r="I7" s="211"/>
      <c r="J7" s="212">
        <v>27.26</v>
      </c>
    </row>
    <row r="8" spans="1:10" ht="18.75" x14ac:dyDescent="0.3">
      <c r="A8" s="207" t="s">
        <v>655</v>
      </c>
      <c r="B8" s="208" t="s">
        <v>672</v>
      </c>
      <c r="C8" s="209">
        <v>540717</v>
      </c>
      <c r="D8" s="210">
        <v>45610</v>
      </c>
      <c r="E8" s="211"/>
      <c r="F8" s="211"/>
      <c r="G8" s="211"/>
      <c r="H8" s="211"/>
      <c r="I8" s="211"/>
      <c r="J8" s="212">
        <v>21.92</v>
      </c>
    </row>
    <row r="9" spans="1:10" ht="18.75" x14ac:dyDescent="0.3">
      <c r="A9" s="207" t="s">
        <v>655</v>
      </c>
      <c r="B9" s="208" t="s">
        <v>673</v>
      </c>
      <c r="C9" s="209">
        <v>540719</v>
      </c>
      <c r="D9" s="210">
        <v>45610</v>
      </c>
      <c r="E9" s="211"/>
      <c r="F9" s="211"/>
      <c r="G9" s="211"/>
      <c r="H9" s="211"/>
      <c r="I9" s="211"/>
      <c r="J9" s="212">
        <v>22.82</v>
      </c>
    </row>
    <row r="10" spans="1:10" ht="18.75" x14ac:dyDescent="0.3">
      <c r="A10" s="207" t="s">
        <v>655</v>
      </c>
      <c r="B10" s="208" t="s">
        <v>658</v>
      </c>
      <c r="C10" s="209">
        <v>540721</v>
      </c>
      <c r="D10" s="210">
        <v>45610</v>
      </c>
      <c r="E10" s="211"/>
      <c r="F10" s="211"/>
      <c r="G10" s="211"/>
      <c r="H10" s="211"/>
      <c r="I10" s="211"/>
      <c r="J10" s="212">
        <v>23</v>
      </c>
    </row>
    <row r="11" spans="1:10" ht="18.75" x14ac:dyDescent="0.3">
      <c r="A11" s="207" t="s">
        <v>655</v>
      </c>
      <c r="B11" s="208" t="s">
        <v>657</v>
      </c>
      <c r="C11" s="209">
        <v>540724</v>
      </c>
      <c r="D11" s="210">
        <v>45610</v>
      </c>
      <c r="E11" s="211"/>
      <c r="F11" s="211"/>
      <c r="G11" s="211"/>
      <c r="H11" s="211"/>
      <c r="I11" s="211"/>
      <c r="J11" s="212">
        <v>21.9</v>
      </c>
    </row>
    <row r="12" spans="1:10" ht="18.75" x14ac:dyDescent="0.3">
      <c r="A12" s="207" t="s">
        <v>655</v>
      </c>
      <c r="B12" s="208" t="s">
        <v>674</v>
      </c>
      <c r="C12" s="209">
        <v>540726</v>
      </c>
      <c r="D12" s="210">
        <v>45610</v>
      </c>
      <c r="E12" s="211"/>
      <c r="F12" s="211"/>
      <c r="G12" s="211"/>
      <c r="H12" s="211"/>
      <c r="I12" s="211"/>
      <c r="J12" s="212">
        <v>28.52</v>
      </c>
    </row>
    <row r="13" spans="1:10" ht="18.75" x14ac:dyDescent="0.3">
      <c r="A13" s="207" t="s">
        <v>655</v>
      </c>
      <c r="B13" s="208" t="s">
        <v>656</v>
      </c>
      <c r="C13" s="209">
        <v>540725</v>
      </c>
      <c r="D13" s="210">
        <v>45610</v>
      </c>
      <c r="E13" s="211"/>
      <c r="F13" s="211"/>
      <c r="G13" s="211"/>
      <c r="H13" s="211"/>
      <c r="I13" s="211"/>
      <c r="J13" s="212">
        <v>26.62</v>
      </c>
    </row>
    <row r="14" spans="1:10" ht="18.75" x14ac:dyDescent="0.3">
      <c r="A14" s="207" t="s">
        <v>655</v>
      </c>
      <c r="B14" s="208" t="s">
        <v>667</v>
      </c>
      <c r="C14" s="209">
        <v>540718</v>
      </c>
      <c r="D14" s="210">
        <v>45610</v>
      </c>
      <c r="E14" s="211"/>
      <c r="F14" s="211"/>
      <c r="G14" s="211"/>
      <c r="H14" s="211"/>
      <c r="I14" s="211"/>
      <c r="J14" s="212">
        <v>25.98</v>
      </c>
    </row>
    <row r="15" spans="1:10" ht="18.75" x14ac:dyDescent="0.3">
      <c r="A15" s="207" t="s">
        <v>655</v>
      </c>
      <c r="B15" s="208" t="s">
        <v>668</v>
      </c>
      <c r="C15" s="209">
        <v>540716</v>
      </c>
      <c r="D15" s="210">
        <v>45610</v>
      </c>
      <c r="E15" s="211"/>
      <c r="F15" s="211"/>
      <c r="G15" s="211"/>
      <c r="H15" s="211"/>
      <c r="I15" s="211"/>
      <c r="J15" s="212">
        <v>23</v>
      </c>
    </row>
    <row r="16" spans="1:10" ht="18.75" x14ac:dyDescent="0.3">
      <c r="A16" s="207" t="s">
        <v>655</v>
      </c>
      <c r="B16" s="208" t="s">
        <v>675</v>
      </c>
      <c r="C16" s="209">
        <v>540714</v>
      </c>
      <c r="D16" s="210">
        <v>45610</v>
      </c>
      <c r="E16" s="211"/>
      <c r="F16" s="211"/>
      <c r="G16" s="211"/>
      <c r="H16" s="211"/>
      <c r="I16" s="211"/>
      <c r="J16" s="212">
        <v>24.58</v>
      </c>
    </row>
    <row r="17" spans="1:10" ht="18.75" x14ac:dyDescent="0.3">
      <c r="A17" s="207" t="s">
        <v>655</v>
      </c>
      <c r="B17" s="208" t="s">
        <v>676</v>
      </c>
      <c r="C17" s="209">
        <v>540715</v>
      </c>
      <c r="D17" s="210">
        <v>45610</v>
      </c>
      <c r="E17" s="211"/>
      <c r="F17" s="211"/>
      <c r="G17" s="211"/>
      <c r="H17" s="211"/>
      <c r="I17" s="211"/>
      <c r="J17" s="212">
        <v>24.26</v>
      </c>
    </row>
    <row r="18" spans="1:10" ht="18.75" x14ac:dyDescent="0.3">
      <c r="A18" s="207" t="s">
        <v>655</v>
      </c>
      <c r="B18" s="208" t="s">
        <v>666</v>
      </c>
      <c r="C18" s="209">
        <v>540713</v>
      </c>
      <c r="D18" s="210">
        <v>45610</v>
      </c>
      <c r="E18" s="211"/>
      <c r="F18" s="211"/>
      <c r="G18" s="211"/>
      <c r="H18" s="211"/>
      <c r="I18" s="211"/>
      <c r="J18" s="212">
        <v>24</v>
      </c>
    </row>
    <row r="19" spans="1:10" ht="18.75" x14ac:dyDescent="0.3">
      <c r="A19" s="207" t="s">
        <v>655</v>
      </c>
      <c r="B19" s="208" t="s">
        <v>674</v>
      </c>
      <c r="C19" s="209">
        <v>540748</v>
      </c>
      <c r="D19" s="210">
        <v>45614</v>
      </c>
      <c r="E19" s="211"/>
      <c r="F19" s="211"/>
      <c r="G19" s="211"/>
      <c r="H19" s="211"/>
      <c r="I19" s="211"/>
      <c r="J19" s="212">
        <v>27.98</v>
      </c>
    </row>
    <row r="20" spans="1:10" ht="18.75" x14ac:dyDescent="0.3">
      <c r="A20" s="207" t="s">
        <v>655</v>
      </c>
      <c r="B20" s="208" t="s">
        <v>662</v>
      </c>
      <c r="C20" s="209">
        <v>540746</v>
      </c>
      <c r="D20" s="210">
        <v>45614</v>
      </c>
      <c r="E20" s="211"/>
      <c r="F20" s="211"/>
      <c r="G20" s="211"/>
      <c r="H20" s="211"/>
      <c r="I20" s="211"/>
      <c r="J20" s="212">
        <v>24.44</v>
      </c>
    </row>
    <row r="21" spans="1:10" ht="18.75" x14ac:dyDescent="0.3">
      <c r="A21" s="207" t="s">
        <v>655</v>
      </c>
      <c r="B21" s="208" t="s">
        <v>661</v>
      </c>
      <c r="C21" s="209">
        <v>540727</v>
      </c>
      <c r="D21" s="210">
        <v>45614</v>
      </c>
      <c r="E21" s="211"/>
      <c r="F21" s="211"/>
      <c r="G21" s="211"/>
      <c r="H21" s="211"/>
      <c r="I21" s="211"/>
      <c r="J21" s="212">
        <v>27.46</v>
      </c>
    </row>
    <row r="22" spans="1:10" ht="18.75" x14ac:dyDescent="0.3">
      <c r="A22" s="207" t="s">
        <v>655</v>
      </c>
      <c r="B22" s="208" t="s">
        <v>662</v>
      </c>
      <c r="C22" s="209">
        <v>540728</v>
      </c>
      <c r="D22" s="210">
        <v>45614</v>
      </c>
      <c r="E22" s="211"/>
      <c r="F22" s="211"/>
      <c r="G22" s="211"/>
      <c r="H22" s="211"/>
      <c r="I22" s="211"/>
      <c r="J22" s="212">
        <v>26.96</v>
      </c>
    </row>
    <row r="23" spans="1:10" ht="18.75" x14ac:dyDescent="0.3">
      <c r="A23" s="207" t="s">
        <v>655</v>
      </c>
      <c r="B23" s="208" t="s">
        <v>659</v>
      </c>
      <c r="C23" s="209">
        <v>540720</v>
      </c>
      <c r="D23" s="210">
        <v>45614</v>
      </c>
      <c r="E23" s="211"/>
      <c r="F23" s="211"/>
      <c r="G23" s="211"/>
      <c r="H23" s="211"/>
      <c r="I23" s="211"/>
      <c r="J23" s="212">
        <v>21.44</v>
      </c>
    </row>
    <row r="24" spans="1:10" ht="18.75" x14ac:dyDescent="0.3">
      <c r="A24" s="207" t="s">
        <v>655</v>
      </c>
      <c r="B24" s="208" t="s">
        <v>659</v>
      </c>
      <c r="C24" s="209">
        <v>540743</v>
      </c>
      <c r="D24" s="210">
        <v>45614</v>
      </c>
      <c r="E24" s="211"/>
      <c r="F24" s="211"/>
      <c r="G24" s="211"/>
      <c r="H24" s="211"/>
      <c r="I24" s="211"/>
      <c r="J24" s="212">
        <v>21.82</v>
      </c>
    </row>
    <row r="25" spans="1:10" ht="18.75" x14ac:dyDescent="0.3">
      <c r="A25" s="207" t="s">
        <v>655</v>
      </c>
      <c r="B25" s="208" t="s">
        <v>669</v>
      </c>
      <c r="C25" s="209">
        <v>540744</v>
      </c>
      <c r="D25" s="210">
        <v>45614</v>
      </c>
      <c r="E25" s="211"/>
      <c r="F25" s="211"/>
      <c r="G25" s="211"/>
      <c r="H25" s="211"/>
      <c r="I25" s="211"/>
      <c r="J25" s="212">
        <v>24.02</v>
      </c>
    </row>
    <row r="26" spans="1:10" ht="18.75" x14ac:dyDescent="0.3">
      <c r="A26" s="207" t="s">
        <v>655</v>
      </c>
      <c r="B26" s="208" t="s">
        <v>674</v>
      </c>
      <c r="C26" s="209">
        <v>540729</v>
      </c>
      <c r="D26" s="210">
        <v>45614</v>
      </c>
      <c r="E26" s="211"/>
      <c r="F26" s="211"/>
      <c r="G26" s="211"/>
      <c r="H26" s="211"/>
      <c r="I26" s="211"/>
      <c r="J26" s="212">
        <v>28.42</v>
      </c>
    </row>
    <row r="27" spans="1:10" ht="18.75" x14ac:dyDescent="0.3">
      <c r="A27" s="207" t="s">
        <v>655</v>
      </c>
      <c r="B27" s="208" t="s">
        <v>661</v>
      </c>
      <c r="C27" s="209">
        <v>540747</v>
      </c>
      <c r="D27" s="210">
        <v>45614</v>
      </c>
      <c r="E27" s="211"/>
      <c r="F27" s="211"/>
      <c r="G27" s="211"/>
      <c r="H27" s="211"/>
      <c r="I27" s="211"/>
      <c r="J27" s="212">
        <v>26.5</v>
      </c>
    </row>
    <row r="28" spans="1:10" ht="18.75" x14ac:dyDescent="0.3">
      <c r="A28" s="207" t="s">
        <v>655</v>
      </c>
      <c r="B28" s="208" t="s">
        <v>666</v>
      </c>
      <c r="C28" s="209">
        <v>540822</v>
      </c>
      <c r="D28" s="210">
        <v>45615</v>
      </c>
      <c r="E28" s="211"/>
      <c r="F28" s="211"/>
      <c r="G28" s="211"/>
      <c r="H28" s="211"/>
      <c r="I28" s="211"/>
      <c r="J28" s="212">
        <v>21.06</v>
      </c>
    </row>
    <row r="29" spans="1:10" ht="18.75" x14ac:dyDescent="0.3">
      <c r="A29" s="207" t="s">
        <v>655</v>
      </c>
      <c r="B29" s="208" t="s">
        <v>663</v>
      </c>
      <c r="C29" s="209">
        <v>540819</v>
      </c>
      <c r="D29" s="210">
        <v>45615</v>
      </c>
      <c r="E29" s="211"/>
      <c r="F29" s="211"/>
      <c r="G29" s="211"/>
      <c r="H29" s="211"/>
      <c r="I29" s="211"/>
      <c r="J29" s="212">
        <v>20.98</v>
      </c>
    </row>
    <row r="30" spans="1:10" ht="18.75" x14ac:dyDescent="0.3">
      <c r="A30" s="207" t="s">
        <v>655</v>
      </c>
      <c r="B30" s="208" t="s">
        <v>673</v>
      </c>
      <c r="C30" s="209">
        <v>540816</v>
      </c>
      <c r="D30" s="210">
        <v>45615</v>
      </c>
      <c r="E30" s="211"/>
      <c r="F30" s="211"/>
      <c r="G30" s="211"/>
      <c r="H30" s="211"/>
      <c r="I30" s="211"/>
      <c r="J30" s="212">
        <v>21.36</v>
      </c>
    </row>
    <row r="31" spans="1:10" ht="18.75" x14ac:dyDescent="0.3">
      <c r="A31" s="207" t="s">
        <v>655</v>
      </c>
      <c r="B31" s="208" t="s">
        <v>677</v>
      </c>
      <c r="C31" s="209">
        <v>540801</v>
      </c>
      <c r="D31" s="210">
        <v>45615</v>
      </c>
      <c r="E31" s="211"/>
      <c r="F31" s="211"/>
      <c r="G31" s="211"/>
      <c r="H31" s="211"/>
      <c r="I31" s="211"/>
      <c r="J31" s="212">
        <v>22.84</v>
      </c>
    </row>
    <row r="32" spans="1:10" ht="18.75" x14ac:dyDescent="0.3">
      <c r="A32" s="207" t="s">
        <v>655</v>
      </c>
      <c r="B32" s="208" t="s">
        <v>667</v>
      </c>
      <c r="C32" s="209">
        <v>540804</v>
      </c>
      <c r="D32" s="210">
        <v>45615</v>
      </c>
      <c r="E32" s="211"/>
      <c r="F32" s="211"/>
      <c r="G32" s="211"/>
      <c r="H32" s="211"/>
      <c r="I32" s="211"/>
      <c r="J32" s="212">
        <v>25.68</v>
      </c>
    </row>
    <row r="33" spans="1:10" ht="18.75" x14ac:dyDescent="0.3">
      <c r="A33" s="207" t="s">
        <v>655</v>
      </c>
      <c r="B33" s="208" t="s">
        <v>668</v>
      </c>
      <c r="C33" s="209">
        <v>540750</v>
      </c>
      <c r="D33" s="210">
        <v>45615</v>
      </c>
      <c r="E33" s="211"/>
      <c r="F33" s="211"/>
      <c r="G33" s="211"/>
      <c r="H33" s="211"/>
      <c r="I33" s="211"/>
      <c r="J33" s="212">
        <v>22.78</v>
      </c>
    </row>
    <row r="34" spans="1:10" ht="18.75" x14ac:dyDescent="0.3">
      <c r="A34" s="207" t="s">
        <v>655</v>
      </c>
      <c r="B34" s="208" t="s">
        <v>678</v>
      </c>
      <c r="C34" s="209">
        <v>540803</v>
      </c>
      <c r="D34" s="210">
        <v>45615</v>
      </c>
      <c r="E34" s="211"/>
      <c r="F34" s="211"/>
      <c r="G34" s="211"/>
      <c r="H34" s="211"/>
      <c r="I34" s="211"/>
      <c r="J34" s="212">
        <v>22.76</v>
      </c>
    </row>
    <row r="35" spans="1:10" ht="18.75" x14ac:dyDescent="0.3">
      <c r="A35" s="207" t="s">
        <v>655</v>
      </c>
      <c r="B35" s="208" t="s">
        <v>672</v>
      </c>
      <c r="C35" s="209">
        <v>540749</v>
      </c>
      <c r="D35" s="210">
        <v>45615</v>
      </c>
      <c r="E35" s="211"/>
      <c r="F35" s="211"/>
      <c r="G35" s="211"/>
      <c r="H35" s="211"/>
      <c r="I35" s="211"/>
      <c r="J35" s="212">
        <v>21.36</v>
      </c>
    </row>
    <row r="36" spans="1:10" ht="18.75" x14ac:dyDescent="0.3">
      <c r="A36" s="207" t="s">
        <v>655</v>
      </c>
      <c r="B36" s="208" t="s">
        <v>660</v>
      </c>
      <c r="C36" s="209">
        <v>540808</v>
      </c>
      <c r="D36" s="210">
        <v>45615</v>
      </c>
      <c r="E36" s="211"/>
      <c r="F36" s="211"/>
      <c r="G36" s="211"/>
      <c r="H36" s="211"/>
      <c r="I36" s="211"/>
      <c r="J36" s="212">
        <v>25.8</v>
      </c>
    </row>
    <row r="37" spans="1:10" ht="18.75" x14ac:dyDescent="0.3">
      <c r="A37" s="207" t="s">
        <v>655</v>
      </c>
      <c r="B37" s="208" t="s">
        <v>664</v>
      </c>
      <c r="C37" s="209">
        <v>540807</v>
      </c>
      <c r="D37" s="210">
        <v>45615</v>
      </c>
      <c r="E37" s="211"/>
      <c r="F37" s="211"/>
      <c r="G37" s="211"/>
      <c r="H37" s="211"/>
      <c r="I37" s="211"/>
      <c r="J37" s="212">
        <v>25.44</v>
      </c>
    </row>
    <row r="38" spans="1:10" ht="18.75" x14ac:dyDescent="0.3">
      <c r="A38" s="207" t="s">
        <v>655</v>
      </c>
      <c r="B38" s="208" t="s">
        <v>670</v>
      </c>
      <c r="C38" s="209">
        <v>540811</v>
      </c>
      <c r="D38" s="210">
        <v>45615</v>
      </c>
      <c r="E38" s="211"/>
      <c r="F38" s="211"/>
      <c r="G38" s="211"/>
      <c r="H38" s="211"/>
      <c r="I38" s="211"/>
      <c r="J38" s="212">
        <v>26.52</v>
      </c>
    </row>
    <row r="39" spans="1:10" ht="18.75" x14ac:dyDescent="0.3">
      <c r="A39" s="207" t="s">
        <v>655</v>
      </c>
      <c r="B39" s="208" t="s">
        <v>661</v>
      </c>
      <c r="C39" s="209">
        <v>540805</v>
      </c>
      <c r="D39" s="210">
        <v>45615</v>
      </c>
      <c r="E39" s="211"/>
      <c r="F39" s="211"/>
      <c r="G39" s="211"/>
      <c r="H39" s="211"/>
      <c r="I39" s="211"/>
      <c r="J39" s="212">
        <v>27.68</v>
      </c>
    </row>
    <row r="40" spans="1:10" ht="18.75" x14ac:dyDescent="0.3">
      <c r="A40" s="207" t="s">
        <v>655</v>
      </c>
      <c r="B40" s="208" t="s">
        <v>662</v>
      </c>
      <c r="C40" s="209">
        <v>540806</v>
      </c>
      <c r="D40" s="210">
        <v>45615</v>
      </c>
      <c r="E40" s="211"/>
      <c r="F40" s="211"/>
      <c r="G40" s="211"/>
      <c r="H40" s="211"/>
      <c r="I40" s="211"/>
      <c r="J40" s="212">
        <v>25.84</v>
      </c>
    </row>
    <row r="41" spans="1:10" ht="18.75" x14ac:dyDescent="0.3">
      <c r="A41" s="207" t="s">
        <v>655</v>
      </c>
      <c r="B41" s="208" t="s">
        <v>674</v>
      </c>
      <c r="C41" s="209">
        <v>540810</v>
      </c>
      <c r="D41" s="210">
        <v>45615</v>
      </c>
      <c r="E41" s="211"/>
      <c r="F41" s="211"/>
      <c r="G41" s="211"/>
      <c r="H41" s="211"/>
      <c r="I41" s="211"/>
      <c r="J41" s="212">
        <v>27</v>
      </c>
    </row>
    <row r="42" spans="1:10" ht="18.75" x14ac:dyDescent="0.3">
      <c r="A42" s="207" t="s">
        <v>655</v>
      </c>
      <c r="B42" s="208" t="s">
        <v>658</v>
      </c>
      <c r="C42" s="209">
        <v>540812</v>
      </c>
      <c r="D42" s="210">
        <v>45615</v>
      </c>
      <c r="E42" s="211"/>
      <c r="F42" s="211"/>
      <c r="G42" s="211"/>
      <c r="H42" s="211"/>
      <c r="I42" s="211"/>
      <c r="J42" s="212">
        <v>25.5</v>
      </c>
    </row>
    <row r="43" spans="1:10" ht="18.75" x14ac:dyDescent="0.3">
      <c r="A43" s="207" t="s">
        <v>655</v>
      </c>
      <c r="B43" s="208" t="s">
        <v>657</v>
      </c>
      <c r="C43" s="209">
        <v>540817</v>
      </c>
      <c r="D43" s="210">
        <v>45615</v>
      </c>
      <c r="E43" s="211"/>
      <c r="F43" s="211"/>
      <c r="G43" s="211"/>
      <c r="H43" s="211"/>
      <c r="I43" s="211"/>
      <c r="J43" s="212">
        <v>22.7</v>
      </c>
    </row>
    <row r="44" spans="1:10" ht="18.75" x14ac:dyDescent="0.3">
      <c r="A44" s="207" t="s">
        <v>655</v>
      </c>
      <c r="B44" s="208" t="s">
        <v>656</v>
      </c>
      <c r="C44" s="209">
        <v>540818</v>
      </c>
      <c r="D44" s="210">
        <v>45615</v>
      </c>
      <c r="E44" s="211"/>
      <c r="F44" s="211"/>
      <c r="G44" s="211"/>
      <c r="H44" s="211"/>
      <c r="I44" s="211"/>
      <c r="J44" s="212">
        <v>25.5</v>
      </c>
    </row>
    <row r="45" spans="1:10" ht="18.75" x14ac:dyDescent="0.3">
      <c r="A45" s="207" t="s">
        <v>655</v>
      </c>
      <c r="B45" s="208" t="s">
        <v>666</v>
      </c>
      <c r="C45" s="209">
        <v>540809</v>
      </c>
      <c r="D45" s="210">
        <v>45615</v>
      </c>
      <c r="E45" s="211"/>
      <c r="F45" s="211"/>
      <c r="G45" s="211"/>
      <c r="H45" s="211"/>
      <c r="I45" s="211"/>
      <c r="J45" s="212">
        <v>23.56</v>
      </c>
    </row>
    <row r="46" spans="1:10" ht="18.75" x14ac:dyDescent="0.3">
      <c r="A46" s="207" t="s">
        <v>655</v>
      </c>
      <c r="B46" s="208" t="s">
        <v>679</v>
      </c>
      <c r="C46" s="209">
        <v>540802</v>
      </c>
      <c r="D46" s="210">
        <v>45615</v>
      </c>
      <c r="E46" s="211"/>
      <c r="F46" s="211"/>
      <c r="G46" s="211"/>
      <c r="H46" s="211"/>
      <c r="I46" s="211"/>
      <c r="J46" s="212">
        <v>22.4</v>
      </c>
    </row>
    <row r="47" spans="1:10" ht="18.75" x14ac:dyDescent="0.3">
      <c r="A47" s="207" t="s">
        <v>655</v>
      </c>
      <c r="B47" s="208" t="s">
        <v>659</v>
      </c>
      <c r="C47" s="209">
        <v>540821</v>
      </c>
      <c r="D47" s="210">
        <v>45615</v>
      </c>
      <c r="E47" s="211"/>
      <c r="F47" s="211"/>
      <c r="G47" s="211"/>
      <c r="H47" s="211"/>
      <c r="I47" s="211"/>
      <c r="J47" s="212">
        <v>21.34</v>
      </c>
    </row>
    <row r="48" spans="1:10" ht="18.75" x14ac:dyDescent="0.3">
      <c r="A48" s="207" t="s">
        <v>655</v>
      </c>
      <c r="B48" s="208" t="s">
        <v>664</v>
      </c>
      <c r="C48" s="209">
        <v>540826</v>
      </c>
      <c r="D48" s="210">
        <v>45616</v>
      </c>
      <c r="E48" s="211"/>
      <c r="F48" s="211"/>
      <c r="G48" s="211"/>
      <c r="H48" s="211"/>
      <c r="I48" s="211"/>
      <c r="J48" s="212">
        <v>23.1</v>
      </c>
    </row>
    <row r="49" spans="1:10" ht="18.75" x14ac:dyDescent="0.3">
      <c r="A49" s="207" t="s">
        <v>655</v>
      </c>
      <c r="B49" s="208" t="s">
        <v>674</v>
      </c>
      <c r="C49" s="209">
        <v>540829</v>
      </c>
      <c r="D49" s="210">
        <v>45616</v>
      </c>
      <c r="E49" s="211"/>
      <c r="F49" s="211"/>
      <c r="G49" s="211"/>
      <c r="H49" s="211"/>
      <c r="I49" s="211"/>
      <c r="J49" s="212">
        <v>25.68</v>
      </c>
    </row>
    <row r="50" spans="1:10" ht="18.75" x14ac:dyDescent="0.3">
      <c r="A50" s="207" t="s">
        <v>655</v>
      </c>
      <c r="B50" s="208" t="s">
        <v>661</v>
      </c>
      <c r="C50" s="209">
        <v>540827</v>
      </c>
      <c r="D50" s="210">
        <v>45616</v>
      </c>
      <c r="E50" s="211"/>
      <c r="F50" s="211"/>
      <c r="G50" s="211"/>
      <c r="H50" s="211"/>
      <c r="I50" s="211"/>
      <c r="J50" s="212">
        <v>25.88</v>
      </c>
    </row>
    <row r="51" spans="1:10" ht="18.75" x14ac:dyDescent="0.3">
      <c r="A51" s="207" t="s">
        <v>655</v>
      </c>
      <c r="B51" s="208" t="s">
        <v>662</v>
      </c>
      <c r="C51" s="209">
        <v>540828</v>
      </c>
      <c r="D51" s="210">
        <v>45616</v>
      </c>
      <c r="E51" s="211"/>
      <c r="F51" s="211"/>
      <c r="G51" s="211"/>
      <c r="H51" s="211"/>
      <c r="I51" s="211"/>
      <c r="J51" s="212">
        <v>24.76</v>
      </c>
    </row>
    <row r="52" spans="1:10" ht="18.75" x14ac:dyDescent="0.3">
      <c r="A52" s="207" t="s">
        <v>655</v>
      </c>
      <c r="B52" s="208" t="s">
        <v>661</v>
      </c>
      <c r="C52" s="209">
        <v>540841</v>
      </c>
      <c r="D52" s="210">
        <v>45617</v>
      </c>
      <c r="E52" s="211"/>
      <c r="F52" s="211"/>
      <c r="G52" s="211"/>
      <c r="H52" s="211"/>
      <c r="I52" s="211"/>
      <c r="J52" s="212">
        <v>25.84</v>
      </c>
    </row>
    <row r="53" spans="1:10" ht="18.75" x14ac:dyDescent="0.3">
      <c r="A53" s="207" t="s">
        <v>655</v>
      </c>
      <c r="B53" s="208" t="s">
        <v>674</v>
      </c>
      <c r="C53" s="209">
        <v>540842</v>
      </c>
      <c r="D53" s="210">
        <v>45617</v>
      </c>
      <c r="E53" s="211"/>
      <c r="F53" s="211"/>
      <c r="G53" s="211"/>
      <c r="H53" s="211"/>
      <c r="I53" s="211"/>
      <c r="J53" s="212">
        <v>25.26</v>
      </c>
    </row>
    <row r="54" spans="1:10" ht="18.75" x14ac:dyDescent="0.3">
      <c r="A54" s="207" t="s">
        <v>655</v>
      </c>
      <c r="B54" s="208" t="s">
        <v>662</v>
      </c>
      <c r="C54" s="209">
        <v>540840</v>
      </c>
      <c r="D54" s="210">
        <v>45617</v>
      </c>
      <c r="E54" s="211"/>
      <c r="F54" s="211"/>
      <c r="G54" s="211"/>
      <c r="H54" s="211"/>
      <c r="I54" s="211"/>
      <c r="J54" s="212">
        <v>25.88</v>
      </c>
    </row>
    <row r="55" spans="1:10" ht="18.75" x14ac:dyDescent="0.3">
      <c r="A55" s="207" t="s">
        <v>655</v>
      </c>
      <c r="B55" s="208" t="s">
        <v>680</v>
      </c>
      <c r="C55" s="209">
        <v>540854</v>
      </c>
      <c r="D55" s="210">
        <v>45618</v>
      </c>
      <c r="E55" s="211"/>
      <c r="F55" s="211"/>
      <c r="G55" s="211"/>
      <c r="H55" s="211"/>
      <c r="I55" s="211"/>
      <c r="J55" s="212">
        <v>23.88</v>
      </c>
    </row>
    <row r="56" spans="1:10" ht="18.75" x14ac:dyDescent="0.3">
      <c r="A56" s="207" t="s">
        <v>655</v>
      </c>
      <c r="B56" s="208" t="s">
        <v>661</v>
      </c>
      <c r="C56" s="209">
        <v>540850</v>
      </c>
      <c r="D56" s="210">
        <v>45618</v>
      </c>
      <c r="E56" s="211"/>
      <c r="F56" s="211"/>
      <c r="G56" s="211"/>
      <c r="H56" s="211"/>
      <c r="I56" s="211"/>
      <c r="J56" s="212">
        <v>26</v>
      </c>
    </row>
    <row r="57" spans="1:10" ht="18.75" x14ac:dyDescent="0.3">
      <c r="A57" s="207" t="s">
        <v>655</v>
      </c>
      <c r="B57" s="208" t="s">
        <v>674</v>
      </c>
      <c r="C57" s="209">
        <v>540851</v>
      </c>
      <c r="D57" s="210">
        <v>45618</v>
      </c>
      <c r="E57" s="211"/>
      <c r="F57" s="211"/>
      <c r="G57" s="211"/>
      <c r="H57" s="211"/>
      <c r="I57" s="211"/>
      <c r="J57" s="212">
        <v>26.7</v>
      </c>
    </row>
    <row r="58" spans="1:10" ht="18.75" x14ac:dyDescent="0.3">
      <c r="A58" s="207" t="s">
        <v>655</v>
      </c>
      <c r="B58" s="208" t="s">
        <v>662</v>
      </c>
      <c r="C58" s="209">
        <v>540849</v>
      </c>
      <c r="D58" s="210">
        <v>45618</v>
      </c>
      <c r="E58" s="211"/>
      <c r="F58" s="211"/>
      <c r="G58" s="211"/>
      <c r="H58" s="211"/>
      <c r="I58" s="211"/>
      <c r="J58" s="212">
        <v>24.8</v>
      </c>
    </row>
    <row r="59" spans="1:10" ht="18.75" x14ac:dyDescent="0.3">
      <c r="A59" s="207" t="s">
        <v>655</v>
      </c>
      <c r="B59" s="208" t="s">
        <v>681</v>
      </c>
      <c r="C59" s="209">
        <v>540863</v>
      </c>
      <c r="D59" s="210">
        <v>45618</v>
      </c>
      <c r="E59" s="211"/>
      <c r="F59" s="211"/>
      <c r="G59" s="211"/>
      <c r="H59" s="211"/>
      <c r="I59" s="211"/>
      <c r="J59" s="212">
        <v>25.32</v>
      </c>
    </row>
    <row r="60" spans="1:10" ht="18.75" x14ac:dyDescent="0.3">
      <c r="A60" s="207" t="s">
        <v>655</v>
      </c>
      <c r="B60" s="208" t="s">
        <v>674</v>
      </c>
      <c r="C60" s="209">
        <v>540864</v>
      </c>
      <c r="D60" s="210">
        <v>45618</v>
      </c>
      <c r="E60" s="211"/>
      <c r="F60" s="211"/>
      <c r="G60" s="211"/>
      <c r="H60" s="211"/>
      <c r="I60" s="211"/>
      <c r="J60" s="212">
        <v>27</v>
      </c>
    </row>
    <row r="61" spans="1:10" ht="18.75" x14ac:dyDescent="0.3">
      <c r="A61" s="207" t="s">
        <v>655</v>
      </c>
      <c r="B61" s="208" t="s">
        <v>661</v>
      </c>
      <c r="C61" s="209">
        <v>540872</v>
      </c>
      <c r="D61" s="210">
        <v>45621</v>
      </c>
      <c r="E61" s="211"/>
      <c r="F61" s="211"/>
      <c r="G61" s="211"/>
      <c r="H61" s="211"/>
      <c r="I61" s="211"/>
      <c r="J61" s="212">
        <v>25.22</v>
      </c>
    </row>
    <row r="62" spans="1:10" ht="18.75" x14ac:dyDescent="0.3">
      <c r="A62" s="207" t="s">
        <v>655</v>
      </c>
      <c r="B62" s="208" t="s">
        <v>671</v>
      </c>
      <c r="C62" s="209">
        <v>540873</v>
      </c>
      <c r="D62" s="210">
        <v>45621</v>
      </c>
      <c r="E62" s="211"/>
      <c r="F62" s="211"/>
      <c r="G62" s="211"/>
      <c r="H62" s="211"/>
      <c r="I62" s="211"/>
      <c r="J62" s="212">
        <v>24.76</v>
      </c>
    </row>
    <row r="63" spans="1:10" ht="18.75" x14ac:dyDescent="0.3">
      <c r="A63" s="207" t="s">
        <v>655</v>
      </c>
      <c r="B63" s="208" t="s">
        <v>656</v>
      </c>
      <c r="C63" s="209">
        <v>540874</v>
      </c>
      <c r="D63" s="210">
        <v>45621</v>
      </c>
      <c r="E63" s="211"/>
      <c r="F63" s="211"/>
      <c r="G63" s="211"/>
      <c r="H63" s="211"/>
      <c r="I63" s="211"/>
      <c r="J63" s="212">
        <v>27.08</v>
      </c>
    </row>
    <row r="64" spans="1:10" ht="18.75" x14ac:dyDescent="0.3">
      <c r="A64" s="207" t="s">
        <v>655</v>
      </c>
      <c r="B64" s="208" t="s">
        <v>661</v>
      </c>
      <c r="C64" s="209">
        <v>580875</v>
      </c>
      <c r="D64" s="210">
        <v>45621</v>
      </c>
      <c r="E64" s="211"/>
      <c r="F64" s="211"/>
      <c r="G64" s="211"/>
      <c r="H64" s="211"/>
      <c r="I64" s="211"/>
      <c r="J64" s="212">
        <v>27.4</v>
      </c>
    </row>
    <row r="65" spans="1:10" ht="18.75" x14ac:dyDescent="0.3">
      <c r="A65" s="207" t="s">
        <v>655</v>
      </c>
      <c r="B65" s="208" t="s">
        <v>662</v>
      </c>
      <c r="C65" s="209">
        <v>540882</v>
      </c>
      <c r="D65" s="210">
        <v>45622</v>
      </c>
      <c r="E65" s="211"/>
      <c r="F65" s="211"/>
      <c r="G65" s="211"/>
      <c r="H65" s="211"/>
      <c r="I65" s="211"/>
      <c r="J65" s="212">
        <v>24.54</v>
      </c>
    </row>
    <row r="66" spans="1:10" ht="18.75" x14ac:dyDescent="0.3">
      <c r="A66" s="207" t="s">
        <v>655</v>
      </c>
      <c r="B66" s="208" t="s">
        <v>661</v>
      </c>
      <c r="C66" s="209">
        <v>540883</v>
      </c>
      <c r="D66" s="210">
        <v>45622</v>
      </c>
      <c r="E66" s="211"/>
      <c r="F66" s="211"/>
      <c r="G66" s="211"/>
      <c r="H66" s="211"/>
      <c r="I66" s="211"/>
      <c r="J66" s="212">
        <v>25.98</v>
      </c>
    </row>
    <row r="67" spans="1:10" ht="18.75" x14ac:dyDescent="0.3">
      <c r="A67" s="207" t="s">
        <v>655</v>
      </c>
      <c r="B67" s="208" t="s">
        <v>674</v>
      </c>
      <c r="C67" s="209">
        <v>540884</v>
      </c>
      <c r="D67" s="210">
        <v>45622</v>
      </c>
      <c r="E67" s="211"/>
      <c r="F67" s="211"/>
      <c r="G67" s="211"/>
      <c r="H67" s="211"/>
      <c r="I67" s="211"/>
      <c r="J67" s="212">
        <v>25.82</v>
      </c>
    </row>
    <row r="68" spans="1:10" ht="18.75" x14ac:dyDescent="0.3">
      <c r="A68" s="207" t="s">
        <v>655</v>
      </c>
      <c r="B68" s="208" t="s">
        <v>657</v>
      </c>
      <c r="C68" s="209">
        <v>540878</v>
      </c>
      <c r="D68" s="210">
        <v>45622</v>
      </c>
      <c r="E68" s="211"/>
      <c r="F68" s="211"/>
      <c r="G68" s="211"/>
      <c r="H68" s="211"/>
      <c r="I68" s="211"/>
      <c r="J68" s="212">
        <v>19.600000000000001</v>
      </c>
    </row>
    <row r="69" spans="1:10" ht="18.75" x14ac:dyDescent="0.3">
      <c r="A69" s="207" t="s">
        <v>655</v>
      </c>
      <c r="B69" s="208" t="s">
        <v>682</v>
      </c>
      <c r="C69" s="209">
        <v>540879</v>
      </c>
      <c r="D69" s="210">
        <v>45622</v>
      </c>
      <c r="E69" s="211"/>
      <c r="F69" s="211"/>
      <c r="G69" s="211"/>
      <c r="H69" s="211"/>
      <c r="I69" s="211"/>
      <c r="J69" s="212">
        <v>21.94</v>
      </c>
    </row>
    <row r="70" spans="1:10" ht="18.75" x14ac:dyDescent="0.3">
      <c r="A70" s="207" t="s">
        <v>655</v>
      </c>
      <c r="B70" s="208" t="s">
        <v>665</v>
      </c>
      <c r="C70" s="209">
        <v>540881</v>
      </c>
      <c r="D70" s="210">
        <v>45622</v>
      </c>
      <c r="E70" s="211"/>
      <c r="F70" s="211"/>
      <c r="G70" s="211"/>
      <c r="H70" s="211"/>
      <c r="I70" s="211"/>
      <c r="J70" s="212">
        <v>24.68</v>
      </c>
    </row>
    <row r="71" spans="1:10" ht="18.75" x14ac:dyDescent="0.3">
      <c r="A71" s="207" t="s">
        <v>683</v>
      </c>
      <c r="B71" s="208" t="s">
        <v>691</v>
      </c>
      <c r="C71" s="209" t="s">
        <v>696</v>
      </c>
      <c r="D71" s="210">
        <v>45608</v>
      </c>
      <c r="E71" s="211"/>
      <c r="F71" s="211"/>
      <c r="G71" s="211"/>
      <c r="H71" s="211"/>
      <c r="I71" s="211"/>
      <c r="J71" s="212">
        <v>41.38</v>
      </c>
    </row>
    <row r="72" spans="1:10" ht="18.75" x14ac:dyDescent="0.3">
      <c r="A72" s="207" t="s">
        <v>683</v>
      </c>
      <c r="B72" s="208" t="s">
        <v>684</v>
      </c>
      <c r="C72" s="209" t="s">
        <v>697</v>
      </c>
      <c r="D72" s="210">
        <v>45608</v>
      </c>
      <c r="E72" s="211"/>
      <c r="F72" s="211"/>
      <c r="G72" s="211"/>
      <c r="H72" s="211"/>
      <c r="I72" s="211"/>
      <c r="J72" s="212">
        <v>46.26</v>
      </c>
    </row>
    <row r="73" spans="1:10" ht="18.75" x14ac:dyDescent="0.3">
      <c r="A73" s="207" t="s">
        <v>683</v>
      </c>
      <c r="B73" s="208" t="s">
        <v>685</v>
      </c>
      <c r="C73" s="209" t="s">
        <v>698</v>
      </c>
      <c r="D73" s="210">
        <v>45608</v>
      </c>
      <c r="E73" s="211"/>
      <c r="F73" s="211"/>
      <c r="G73" s="211"/>
      <c r="H73" s="211"/>
      <c r="I73" s="211"/>
      <c r="J73" s="212">
        <v>46.02</v>
      </c>
    </row>
    <row r="74" spans="1:10" ht="18.75" x14ac:dyDescent="0.3">
      <c r="A74" s="207" t="s">
        <v>683</v>
      </c>
      <c r="B74" s="208" t="s">
        <v>689</v>
      </c>
      <c r="C74" s="209" t="s">
        <v>699</v>
      </c>
      <c r="D74" s="210">
        <v>45608</v>
      </c>
      <c r="E74" s="211"/>
      <c r="F74" s="211"/>
      <c r="G74" s="211"/>
      <c r="H74" s="211"/>
      <c r="I74" s="211"/>
      <c r="J74" s="212">
        <v>51</v>
      </c>
    </row>
    <row r="75" spans="1:10" ht="18.75" x14ac:dyDescent="0.3">
      <c r="A75" s="207" t="s">
        <v>683</v>
      </c>
      <c r="B75" s="208" t="s">
        <v>700</v>
      </c>
      <c r="C75" s="209" t="s">
        <v>701</v>
      </c>
      <c r="D75" s="210">
        <v>45608</v>
      </c>
      <c r="E75" s="211"/>
      <c r="F75" s="211"/>
      <c r="G75" s="211"/>
      <c r="H75" s="211"/>
      <c r="I75" s="211"/>
      <c r="J75" s="212">
        <v>43.18</v>
      </c>
    </row>
    <row r="76" spans="1:10" ht="18.75" x14ac:dyDescent="0.3">
      <c r="A76" s="207" t="s">
        <v>683</v>
      </c>
      <c r="B76" s="208" t="s">
        <v>687</v>
      </c>
      <c r="C76" s="209" t="s">
        <v>702</v>
      </c>
      <c r="D76" s="210">
        <v>45609</v>
      </c>
      <c r="E76" s="211"/>
      <c r="F76" s="211"/>
      <c r="G76" s="211"/>
      <c r="H76" s="211"/>
      <c r="I76" s="211"/>
      <c r="J76" s="212">
        <v>40.619999999999997</v>
      </c>
    </row>
    <row r="77" spans="1:10" ht="18.75" x14ac:dyDescent="0.3">
      <c r="A77" s="207" t="s">
        <v>683</v>
      </c>
      <c r="B77" s="208" t="s">
        <v>693</v>
      </c>
      <c r="C77" s="209" t="s">
        <v>703</v>
      </c>
      <c r="D77" s="210">
        <v>45609</v>
      </c>
      <c r="E77" s="211"/>
      <c r="F77" s="211"/>
      <c r="G77" s="211"/>
      <c r="H77" s="211"/>
      <c r="I77" s="211"/>
      <c r="J77" s="212">
        <v>51.78</v>
      </c>
    </row>
    <row r="78" spans="1:10" ht="18.75" x14ac:dyDescent="0.3">
      <c r="A78" s="207" t="s">
        <v>683</v>
      </c>
      <c r="B78" s="208" t="s">
        <v>704</v>
      </c>
      <c r="C78" s="209" t="s">
        <v>705</v>
      </c>
      <c r="D78" s="210">
        <v>45614</v>
      </c>
      <c r="E78" s="211"/>
      <c r="F78" s="211"/>
      <c r="G78" s="211"/>
      <c r="H78" s="211"/>
      <c r="I78" s="211"/>
      <c r="J78" s="212">
        <v>41.98</v>
      </c>
    </row>
    <row r="79" spans="1:10" ht="18.75" x14ac:dyDescent="0.3">
      <c r="A79" s="207" t="s">
        <v>683</v>
      </c>
      <c r="B79" s="208" t="s">
        <v>690</v>
      </c>
      <c r="C79" s="209" t="s">
        <v>706</v>
      </c>
      <c r="D79" s="210">
        <v>45614</v>
      </c>
      <c r="E79" s="211"/>
      <c r="F79" s="211"/>
      <c r="G79" s="211"/>
      <c r="H79" s="211"/>
      <c r="I79" s="211"/>
      <c r="J79" s="212">
        <v>34.92</v>
      </c>
    </row>
    <row r="80" spans="1:10" ht="18.75" x14ac:dyDescent="0.3">
      <c r="A80" s="207" t="s">
        <v>683</v>
      </c>
      <c r="B80" s="208" t="s">
        <v>689</v>
      </c>
      <c r="C80" s="209" t="s">
        <v>707</v>
      </c>
      <c r="D80" s="210">
        <v>45614</v>
      </c>
      <c r="E80" s="211"/>
      <c r="F80" s="211"/>
      <c r="G80" s="211"/>
      <c r="H80" s="211"/>
      <c r="I80" s="211"/>
      <c r="J80" s="212">
        <v>54.82</v>
      </c>
    </row>
    <row r="81" spans="1:10" ht="18.75" x14ac:dyDescent="0.3">
      <c r="A81" s="207" t="s">
        <v>683</v>
      </c>
      <c r="B81" s="208" t="s">
        <v>684</v>
      </c>
      <c r="C81" s="209" t="s">
        <v>708</v>
      </c>
      <c r="D81" s="210">
        <v>45614</v>
      </c>
      <c r="E81" s="211"/>
      <c r="F81" s="211"/>
      <c r="G81" s="211"/>
      <c r="H81" s="211"/>
      <c r="I81" s="211"/>
      <c r="J81" s="212">
        <v>45.7</v>
      </c>
    </row>
    <row r="82" spans="1:10" ht="18.75" x14ac:dyDescent="0.3">
      <c r="A82" s="207" t="s">
        <v>683</v>
      </c>
      <c r="B82" s="208" t="s">
        <v>709</v>
      </c>
      <c r="C82" s="209" t="s">
        <v>710</v>
      </c>
      <c r="D82" s="210">
        <v>45614</v>
      </c>
      <c r="E82" s="211"/>
      <c r="F82" s="211"/>
      <c r="G82" s="211"/>
      <c r="H82" s="211"/>
      <c r="I82" s="211"/>
      <c r="J82" s="212">
        <v>42.82</v>
      </c>
    </row>
    <row r="83" spans="1:10" ht="18.75" x14ac:dyDescent="0.3">
      <c r="A83" s="207" t="s">
        <v>683</v>
      </c>
      <c r="B83" s="208" t="s">
        <v>693</v>
      </c>
      <c r="C83" s="209" t="s">
        <v>711</v>
      </c>
      <c r="D83" s="210">
        <v>45614</v>
      </c>
      <c r="E83" s="211"/>
      <c r="F83" s="211"/>
      <c r="G83" s="211"/>
      <c r="H83" s="211"/>
      <c r="I83" s="211"/>
      <c r="J83" s="212">
        <v>48.14</v>
      </c>
    </row>
    <row r="84" spans="1:10" ht="18.75" x14ac:dyDescent="0.3">
      <c r="A84" s="207" t="s">
        <v>683</v>
      </c>
      <c r="B84" s="208" t="s">
        <v>692</v>
      </c>
      <c r="C84" s="209" t="s">
        <v>712</v>
      </c>
      <c r="D84" s="210">
        <v>38313</v>
      </c>
      <c r="E84" s="211"/>
      <c r="F84" s="211"/>
      <c r="G84" s="211"/>
      <c r="H84" s="211"/>
      <c r="I84" s="211"/>
      <c r="J84" s="212">
        <v>41.42</v>
      </c>
    </row>
    <row r="85" spans="1:10" ht="18.75" x14ac:dyDescent="0.3">
      <c r="A85" s="207" t="s">
        <v>683</v>
      </c>
      <c r="B85" s="208" t="s">
        <v>713</v>
      </c>
      <c r="C85" s="209" t="s">
        <v>714</v>
      </c>
      <c r="D85" s="210">
        <v>38313</v>
      </c>
      <c r="E85" s="211"/>
      <c r="F85" s="211"/>
      <c r="G85" s="211"/>
      <c r="H85" s="211"/>
      <c r="I85" s="211"/>
      <c r="J85" s="212">
        <v>42.6</v>
      </c>
    </row>
    <row r="86" spans="1:10" ht="18.75" x14ac:dyDescent="0.3">
      <c r="A86" s="207" t="s">
        <v>683</v>
      </c>
      <c r="B86" s="208" t="s">
        <v>715</v>
      </c>
      <c r="C86" s="209" t="s">
        <v>716</v>
      </c>
      <c r="D86" s="210">
        <v>38313</v>
      </c>
      <c r="E86" s="211"/>
      <c r="F86" s="211"/>
      <c r="G86" s="211"/>
      <c r="H86" s="211"/>
      <c r="I86" s="211"/>
      <c r="J86" s="212">
        <v>41.88</v>
      </c>
    </row>
    <row r="87" spans="1:10" ht="18.75" x14ac:dyDescent="0.3">
      <c r="A87" s="207" t="s">
        <v>683</v>
      </c>
      <c r="B87" s="208" t="s">
        <v>690</v>
      </c>
      <c r="C87" s="209" t="s">
        <v>717</v>
      </c>
      <c r="D87" s="210">
        <v>38313</v>
      </c>
      <c r="E87" s="211"/>
      <c r="F87" s="211"/>
      <c r="G87" s="211"/>
      <c r="H87" s="211"/>
      <c r="I87" s="211"/>
      <c r="J87" s="212">
        <v>32.36</v>
      </c>
    </row>
    <row r="88" spans="1:10" ht="18.75" x14ac:dyDescent="0.3">
      <c r="A88" s="207" t="s">
        <v>683</v>
      </c>
      <c r="B88" s="208" t="s">
        <v>715</v>
      </c>
      <c r="C88" s="209" t="s">
        <v>718</v>
      </c>
      <c r="D88" s="210">
        <v>38313</v>
      </c>
      <c r="E88" s="211"/>
      <c r="F88" s="211"/>
      <c r="G88" s="211"/>
      <c r="H88" s="211"/>
      <c r="I88" s="211"/>
      <c r="J88" s="212">
        <v>42.58</v>
      </c>
    </row>
    <row r="89" spans="1:10" ht="18.75" x14ac:dyDescent="0.3">
      <c r="A89" s="207" t="s">
        <v>683</v>
      </c>
      <c r="B89" s="208" t="s">
        <v>687</v>
      </c>
      <c r="C89" s="209" t="s">
        <v>719</v>
      </c>
      <c r="D89" s="210">
        <v>38313</v>
      </c>
      <c r="E89" s="211"/>
      <c r="F89" s="211"/>
      <c r="G89" s="211"/>
      <c r="H89" s="211"/>
      <c r="I89" s="211"/>
      <c r="J89" s="212">
        <v>42.44</v>
      </c>
    </row>
    <row r="90" spans="1:10" ht="18.75" x14ac:dyDescent="0.3">
      <c r="A90" s="207" t="s">
        <v>683</v>
      </c>
      <c r="B90" s="208" t="s">
        <v>694</v>
      </c>
      <c r="C90" s="209" t="s">
        <v>720</v>
      </c>
      <c r="D90" s="210">
        <v>38313</v>
      </c>
      <c r="E90" s="211"/>
      <c r="F90" s="211"/>
      <c r="G90" s="211"/>
      <c r="H90" s="211"/>
      <c r="I90" s="211"/>
      <c r="J90" s="212">
        <v>43.06</v>
      </c>
    </row>
    <row r="91" spans="1:10" ht="18.75" x14ac:dyDescent="0.3">
      <c r="A91" s="207" t="s">
        <v>683</v>
      </c>
      <c r="B91" s="208" t="s">
        <v>688</v>
      </c>
      <c r="C91" s="209" t="s">
        <v>721</v>
      </c>
      <c r="D91" s="210">
        <v>38313</v>
      </c>
      <c r="E91" s="211"/>
      <c r="F91" s="211"/>
      <c r="G91" s="211"/>
      <c r="H91" s="211"/>
      <c r="I91" s="211"/>
      <c r="J91" s="212">
        <v>45.32</v>
      </c>
    </row>
    <row r="92" spans="1:10" ht="18.75" x14ac:dyDescent="0.3">
      <c r="A92" s="207" t="s">
        <v>683</v>
      </c>
      <c r="B92" s="208" t="s">
        <v>686</v>
      </c>
      <c r="C92" s="209" t="s">
        <v>722</v>
      </c>
      <c r="D92" s="210">
        <v>38313</v>
      </c>
      <c r="E92" s="211"/>
      <c r="F92" s="211"/>
      <c r="G92" s="211"/>
      <c r="H92" s="211"/>
      <c r="I92" s="211"/>
      <c r="J92" s="212">
        <v>40.840000000000003</v>
      </c>
    </row>
    <row r="93" spans="1:10" ht="18.75" x14ac:dyDescent="0.3">
      <c r="A93" s="207" t="s">
        <v>683</v>
      </c>
      <c r="B93" s="208" t="s">
        <v>695</v>
      </c>
      <c r="C93" s="209" t="s">
        <v>723</v>
      </c>
      <c r="D93" s="210">
        <v>38313</v>
      </c>
      <c r="E93" s="211"/>
      <c r="F93" s="211"/>
      <c r="G93" s="211"/>
      <c r="H93" s="211"/>
      <c r="I93" s="211"/>
      <c r="J93" s="212">
        <v>31.92</v>
      </c>
    </row>
    <row r="94" spans="1:10" x14ac:dyDescent="0.25">
      <c r="A94" s="285" t="s">
        <v>485</v>
      </c>
      <c r="B94" s="285"/>
      <c r="C94" s="285"/>
      <c r="D94" s="285"/>
      <c r="E94" s="215"/>
      <c r="F94" s="215"/>
      <c r="G94" s="215"/>
      <c r="H94" s="215"/>
      <c r="I94" s="215"/>
      <c r="J94" s="216">
        <f>SUM(J7:J93)</f>
        <v>2571.1600000000008</v>
      </c>
    </row>
    <row r="96" spans="1:10" x14ac:dyDescent="0.25">
      <c r="A96" s="214" t="s">
        <v>724</v>
      </c>
      <c r="B96" s="217">
        <f>J94/1.5</f>
        <v>1714.1066666666673</v>
      </c>
    </row>
    <row r="97" spans="1:2" x14ac:dyDescent="0.25">
      <c r="A97" s="214" t="s">
        <v>725</v>
      </c>
      <c r="B97" s="217">
        <f>J94*17.05</f>
        <v>43838.278000000013</v>
      </c>
    </row>
    <row r="98" spans="1:2" x14ac:dyDescent="0.25">
      <c r="A98" s="214"/>
    </row>
  </sheetData>
  <mergeCells count="5">
    <mergeCell ref="A94:D94"/>
    <mergeCell ref="A5:A6"/>
    <mergeCell ref="B5:B6"/>
    <mergeCell ref="C5:C6"/>
    <mergeCell ref="D5:I5"/>
  </mergeCells>
  <conditionalFormatting sqref="A7:B70">
    <cfRule type="expression" dxfId="13" priority="54">
      <formula>#REF!="A vencer"</formula>
    </cfRule>
    <cfRule type="expression" dxfId="12" priority="55">
      <formula>#REF!="Ativo"</formula>
    </cfRule>
  </conditionalFormatting>
  <conditionalFormatting sqref="A7:J70">
    <cfRule type="expression" dxfId="11" priority="53">
      <formula>#REF!="Vencido"</formula>
    </cfRule>
  </conditionalFormatting>
  <conditionalFormatting sqref="A71:J93">
    <cfRule type="expression" dxfId="10" priority="31">
      <formula>#REF!="Vencido"</formula>
    </cfRule>
    <cfRule type="expression" dxfId="9" priority="32">
      <formula>#REF!="A vencer"</formula>
    </cfRule>
    <cfRule type="expression" dxfId="8" priority="33">
      <formula>#REF!="Ativo"</formula>
    </cfRule>
  </conditionalFormatting>
  <conditionalFormatting sqref="C64:C70">
    <cfRule type="expression" dxfId="7" priority="60">
      <formula>#REF!="A vencer"</formula>
    </cfRule>
    <cfRule type="expression" dxfId="6" priority="61">
      <formula>#REF!="Ativo"</formula>
    </cfRule>
  </conditionalFormatting>
  <conditionalFormatting sqref="C7:J63">
    <cfRule type="expression" dxfId="5" priority="57">
      <formula>#REF!="A vencer"</formula>
    </cfRule>
    <cfRule type="expression" dxfId="4" priority="58">
      <formula>#REF!="Ativo"</formula>
    </cfRule>
  </conditionalFormatting>
  <conditionalFormatting sqref="D64:I70">
    <cfRule type="expression" dxfId="3" priority="51">
      <formula>#REF!="A vencer"</formula>
    </cfRule>
    <cfRule type="expression" dxfId="2" priority="52">
      <formula>#REF!="Ativo"</formula>
    </cfRule>
  </conditionalFormatting>
  <conditionalFormatting sqref="J64:J70">
    <cfRule type="expression" dxfId="1" priority="80">
      <formula>#REF!="A vencer"</formula>
    </cfRule>
    <cfRule type="expression" dxfId="0" priority="81">
      <formula>#REF!="Ativo"</formula>
    </cfRule>
  </conditionalFormatting>
  <pageMargins left="0.511811024" right="0.511811024" top="0.78740157499999996" bottom="0.78740157499999996" header="0.31496062000000002" footer="0.31496062000000002"/>
  <pageSetup paperSize="9" scale="64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7608-C8B1-429C-9473-237B129E2CF9}">
  <sheetPr>
    <pageSetUpPr fitToPage="1"/>
  </sheetPr>
  <dimension ref="A1:Q879"/>
  <sheetViews>
    <sheetView view="pageBreakPreview" topLeftCell="A13" zoomScale="85" zoomScaleNormal="100" zoomScaleSheetLayoutView="85" workbookViewId="0">
      <selection activeCell="F14" sqref="F14"/>
    </sheetView>
  </sheetViews>
  <sheetFormatPr defaultColWidth="16.83203125" defaultRowHeight="15" customHeight="1" x14ac:dyDescent="0.25"/>
  <cols>
    <col min="1" max="1" width="23.1640625" style="158" customWidth="1"/>
    <col min="2" max="2" width="26.1640625" style="158" customWidth="1"/>
    <col min="3" max="3" width="33" style="158" customWidth="1"/>
    <col min="4" max="4" width="19" style="158" customWidth="1"/>
    <col min="5" max="5" width="23" style="158" customWidth="1"/>
    <col min="6" max="6" width="22.33203125" style="158" customWidth="1"/>
    <col min="7" max="7" width="14.33203125" style="158" customWidth="1"/>
    <col min="8" max="8" width="19.5" style="158" customWidth="1"/>
    <col min="9" max="17" width="10.1640625" style="158" customWidth="1"/>
    <col min="18" max="16384" width="16.83203125" style="158"/>
  </cols>
  <sheetData>
    <row r="1" spans="1:17" ht="15.75" customHeight="1" x14ac:dyDescent="0.25">
      <c r="A1" s="154"/>
      <c r="B1" s="155"/>
      <c r="C1" s="155"/>
      <c r="D1" s="155"/>
      <c r="E1" s="155"/>
      <c r="F1" s="155"/>
      <c r="G1" s="155"/>
      <c r="H1" s="156"/>
      <c r="I1" s="157"/>
      <c r="J1" s="157"/>
      <c r="K1" s="157"/>
      <c r="L1" s="157"/>
      <c r="M1" s="157"/>
      <c r="N1" s="157"/>
      <c r="O1" s="157"/>
      <c r="P1" s="157"/>
      <c r="Q1" s="157"/>
    </row>
    <row r="2" spans="1:17" ht="15.75" customHeight="1" x14ac:dyDescent="0.25">
      <c r="A2" s="291" t="s">
        <v>93</v>
      </c>
      <c r="B2" s="292"/>
      <c r="C2" s="292"/>
      <c r="D2" s="292"/>
      <c r="E2" s="292"/>
      <c r="F2" s="292"/>
      <c r="G2" s="292"/>
      <c r="H2" s="293"/>
      <c r="I2" s="157"/>
      <c r="J2" s="157"/>
      <c r="K2" s="157"/>
      <c r="L2" s="157"/>
      <c r="M2" s="157"/>
      <c r="N2" s="157"/>
      <c r="O2" s="157"/>
      <c r="P2" s="157"/>
      <c r="Q2" s="157"/>
    </row>
    <row r="3" spans="1:17" ht="15.75" customHeight="1" x14ac:dyDescent="0.25">
      <c r="A3" s="291"/>
      <c r="B3" s="292"/>
      <c r="C3" s="292"/>
      <c r="D3" s="292"/>
      <c r="E3" s="292"/>
      <c r="F3" s="292"/>
      <c r="G3" s="292"/>
      <c r="H3" s="293"/>
      <c r="I3" s="157"/>
      <c r="J3" s="157"/>
      <c r="K3" s="157"/>
      <c r="L3" s="157"/>
      <c r="M3" s="157"/>
      <c r="N3" s="157"/>
      <c r="O3" s="157"/>
      <c r="P3" s="157"/>
      <c r="Q3" s="157"/>
    </row>
    <row r="4" spans="1:17" ht="15.75" customHeight="1" x14ac:dyDescent="0.25">
      <c r="A4" s="160"/>
      <c r="B4" s="159"/>
      <c r="C4" s="161"/>
      <c r="D4" s="159"/>
      <c r="E4" s="162"/>
      <c r="F4" s="162"/>
      <c r="G4" s="162"/>
      <c r="H4" s="163"/>
      <c r="I4" s="157"/>
      <c r="J4" s="157"/>
      <c r="K4" s="157"/>
      <c r="L4" s="157"/>
      <c r="M4" s="157"/>
      <c r="N4" s="157"/>
      <c r="O4" s="157"/>
      <c r="P4" s="157"/>
      <c r="Q4" s="157"/>
    </row>
    <row r="5" spans="1:17" ht="32.25" customHeight="1" x14ac:dyDescent="0.25">
      <c r="A5" s="291" t="s">
        <v>95</v>
      </c>
      <c r="B5" s="292"/>
      <c r="C5" s="292"/>
      <c r="D5" s="292"/>
      <c r="E5" s="292"/>
      <c r="F5" s="292"/>
      <c r="G5" s="292"/>
      <c r="H5" s="293"/>
      <c r="I5" s="157"/>
      <c r="J5" s="157"/>
      <c r="K5" s="157"/>
      <c r="L5" s="157"/>
      <c r="M5" s="157"/>
      <c r="N5" s="157"/>
      <c r="O5" s="157"/>
      <c r="P5" s="157"/>
      <c r="Q5" s="157"/>
    </row>
    <row r="6" spans="1:17" ht="15.75" customHeight="1" x14ac:dyDescent="0.25">
      <c r="A6" s="164"/>
      <c r="B6" s="165"/>
      <c r="C6" s="165"/>
      <c r="D6" s="159"/>
      <c r="E6" s="162"/>
      <c r="F6" s="162"/>
      <c r="G6" s="162"/>
      <c r="H6" s="163"/>
      <c r="I6" s="157"/>
      <c r="J6" s="157"/>
      <c r="K6" s="157"/>
      <c r="L6" s="157"/>
      <c r="M6" s="157"/>
      <c r="N6" s="157"/>
      <c r="O6" s="157"/>
      <c r="P6" s="157"/>
      <c r="Q6" s="157"/>
    </row>
    <row r="7" spans="1:17" ht="15.75" customHeight="1" x14ac:dyDescent="0.25">
      <c r="A7" s="294" t="s">
        <v>545</v>
      </c>
      <c r="B7" s="295"/>
      <c r="C7" s="295"/>
      <c r="D7" s="295"/>
      <c r="E7" s="295"/>
      <c r="F7" s="295"/>
      <c r="G7" s="295"/>
      <c r="H7" s="296"/>
      <c r="I7" s="157"/>
      <c r="J7" s="157"/>
      <c r="K7" s="157"/>
      <c r="L7" s="157"/>
      <c r="M7" s="157"/>
      <c r="N7" s="157"/>
      <c r="O7" s="157"/>
      <c r="P7" s="157"/>
      <c r="Q7" s="157"/>
    </row>
    <row r="8" spans="1:17" ht="15.75" customHeight="1" x14ac:dyDescent="0.25">
      <c r="A8" s="166" t="s">
        <v>91</v>
      </c>
      <c r="B8" s="167" t="s">
        <v>94</v>
      </c>
      <c r="C8" s="168"/>
      <c r="D8" s="168"/>
      <c r="E8" s="169" t="s">
        <v>457</v>
      </c>
      <c r="F8" s="131">
        <f>'BM 11 do Contrato'!F8</f>
        <v>11</v>
      </c>
      <c r="G8" s="170"/>
      <c r="H8" s="171"/>
      <c r="I8" s="157"/>
      <c r="J8" s="157"/>
      <c r="K8" s="157"/>
      <c r="L8" s="157"/>
      <c r="M8" s="157"/>
      <c r="N8" s="157"/>
      <c r="O8" s="157"/>
      <c r="P8" s="157"/>
      <c r="Q8" s="157"/>
    </row>
    <row r="9" spans="1:17" ht="15.75" customHeight="1" x14ac:dyDescent="0.25">
      <c r="A9" s="172" t="s">
        <v>455</v>
      </c>
      <c r="B9" s="173" t="s">
        <v>456</v>
      </c>
      <c r="C9" s="173"/>
      <c r="D9" s="173"/>
      <c r="E9" s="174" t="s">
        <v>458</v>
      </c>
      <c r="F9" s="297" t="str">
        <f>'BM 11 do Contrato'!F9</f>
        <v>01/01/25 à 07/02/25</v>
      </c>
      <c r="G9" s="297"/>
      <c r="H9" s="298"/>
      <c r="I9" s="157"/>
      <c r="J9" s="157"/>
      <c r="K9" s="157"/>
      <c r="L9" s="157"/>
      <c r="M9" s="157"/>
      <c r="N9" s="157"/>
      <c r="O9" s="157"/>
      <c r="P9" s="157"/>
      <c r="Q9" s="157"/>
    </row>
    <row r="10" spans="1:17" ht="15.75" customHeight="1" x14ac:dyDescent="0.2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</row>
    <row r="11" spans="1:17" ht="15.75" customHeight="1" x14ac:dyDescent="0.25">
      <c r="A11" s="301" t="s">
        <v>546</v>
      </c>
      <c r="B11" s="301"/>
      <c r="C11" s="301"/>
      <c r="D11" s="301"/>
      <c r="E11" s="301"/>
      <c r="F11" s="301"/>
      <c r="G11" s="301"/>
      <c r="H11" s="301"/>
      <c r="I11" s="157"/>
      <c r="J11" s="157"/>
      <c r="K11" s="157"/>
      <c r="L11" s="157"/>
      <c r="M11" s="157"/>
      <c r="N11" s="157"/>
      <c r="O11" s="157"/>
      <c r="P11" s="157"/>
      <c r="Q11" s="157"/>
    </row>
    <row r="12" spans="1:17" ht="15.75" customHeight="1" x14ac:dyDescent="0.25">
      <c r="A12" s="157" t="s">
        <v>556</v>
      </c>
      <c r="B12" s="157">
        <v>11.7</v>
      </c>
      <c r="C12" s="157" t="s">
        <v>547</v>
      </c>
      <c r="D12" s="157">
        <f>B12/1.5</f>
        <v>7.8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</row>
    <row r="13" spans="1:17" ht="15.75" customHeight="1" x14ac:dyDescent="0.25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</row>
    <row r="14" spans="1:17" ht="15.75" customHeight="1" x14ac:dyDescent="0.25">
      <c r="A14" s="157"/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</row>
    <row r="15" spans="1:17" s="176" customFormat="1" ht="12.75" x14ac:dyDescent="0.2">
      <c r="B15" s="300" t="s">
        <v>548</v>
      </c>
      <c r="C15" s="300"/>
      <c r="D15" s="300"/>
      <c r="E15" s="300"/>
    </row>
    <row r="16" spans="1:17" s="176" customFormat="1" ht="12.75" x14ac:dyDescent="0.2">
      <c r="B16" s="175" t="s">
        <v>549</v>
      </c>
      <c r="C16" s="175" t="s">
        <v>550</v>
      </c>
      <c r="D16" s="175">
        <f>1.5*1.5*0.16</f>
        <v>0.36</v>
      </c>
      <c r="E16" s="175" t="s">
        <v>14</v>
      </c>
    </row>
    <row r="17" spans="1:17" s="176" customFormat="1" ht="12.75" x14ac:dyDescent="0.2">
      <c r="B17" s="175" t="s">
        <v>551</v>
      </c>
      <c r="C17" s="175" t="s">
        <v>552</v>
      </c>
      <c r="D17" s="175">
        <f>1.5*1.5*0.15</f>
        <v>0.33749999999999997</v>
      </c>
      <c r="E17" s="175" t="s">
        <v>14</v>
      </c>
    </row>
    <row r="18" spans="1:17" s="176" customFormat="1" ht="12.75" x14ac:dyDescent="0.2">
      <c r="B18" s="175" t="s">
        <v>553</v>
      </c>
      <c r="C18" s="175" t="s">
        <v>554</v>
      </c>
      <c r="D18" s="175">
        <f>2*0.7*0.15*1.5</f>
        <v>0.315</v>
      </c>
      <c r="E18" s="175" t="s">
        <v>14</v>
      </c>
    </row>
    <row r="19" spans="1:17" s="176" customFormat="1" ht="12.75" x14ac:dyDescent="0.2">
      <c r="C19" s="300" t="s">
        <v>555</v>
      </c>
      <c r="D19" s="177">
        <f>SUM(D16:D18)</f>
        <v>1.0125</v>
      </c>
    </row>
    <row r="20" spans="1:17" s="176" customFormat="1" ht="12.75" x14ac:dyDescent="0.2">
      <c r="C20" s="300"/>
      <c r="D20" s="177">
        <f>D12*D19</f>
        <v>7.8974999999999991</v>
      </c>
    </row>
    <row r="21" spans="1:17" s="176" customFormat="1" ht="12.75" x14ac:dyDescent="0.2"/>
    <row r="22" spans="1:17" s="176" customFormat="1" ht="12.75" x14ac:dyDescent="0.2"/>
    <row r="23" spans="1:17" s="176" customFormat="1" ht="12.75" x14ac:dyDescent="0.2">
      <c r="B23" s="300" t="s">
        <v>561</v>
      </c>
      <c r="C23" s="300"/>
      <c r="D23" s="300"/>
      <c r="E23" s="300"/>
    </row>
    <row r="24" spans="1:17" ht="15.75" customHeight="1" x14ac:dyDescent="0.25">
      <c r="A24" s="157"/>
      <c r="B24" s="175" t="s">
        <v>549</v>
      </c>
      <c r="C24" s="175" t="s">
        <v>559</v>
      </c>
      <c r="D24" s="175">
        <f>1.8*2*0.16</f>
        <v>0.57600000000000007</v>
      </c>
      <c r="E24" s="175" t="s">
        <v>557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</row>
    <row r="25" spans="1:17" ht="15.75" customHeight="1" x14ac:dyDescent="0.25">
      <c r="A25" s="157"/>
      <c r="B25" s="175" t="s">
        <v>551</v>
      </c>
      <c r="C25" s="175" t="s">
        <v>558</v>
      </c>
      <c r="D25" s="175">
        <f>(1.8*1.8)+(1.8*0.15*2)</f>
        <v>3.7800000000000002</v>
      </c>
      <c r="E25" s="175" t="s">
        <v>557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</row>
    <row r="26" spans="1:17" ht="24.75" customHeight="1" x14ac:dyDescent="0.25">
      <c r="A26" s="157"/>
      <c r="B26" s="175" t="s">
        <v>553</v>
      </c>
      <c r="C26" s="178" t="s">
        <v>560</v>
      </c>
      <c r="D26" s="175">
        <f>(1.65*1.65*2)+(1.5*0.7*2)+(1.65*0.15*4)</f>
        <v>8.5349999999999984</v>
      </c>
      <c r="E26" s="175" t="s">
        <v>557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</row>
    <row r="27" spans="1:17" ht="15.75" customHeight="1" x14ac:dyDescent="0.25">
      <c r="A27" s="157"/>
      <c r="B27" s="176"/>
      <c r="C27" s="300" t="s">
        <v>555</v>
      </c>
      <c r="D27" s="177">
        <f>SUM(D24:D26)</f>
        <v>12.890999999999998</v>
      </c>
      <c r="E27" s="176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</row>
    <row r="28" spans="1:17" ht="15.75" customHeight="1" x14ac:dyDescent="0.25">
      <c r="A28" s="157"/>
      <c r="B28" s="157"/>
      <c r="C28" s="300"/>
      <c r="D28" s="181">
        <f>D12*D27</f>
        <v>100.54979999999999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</row>
    <row r="29" spans="1:17" ht="15.75" customHeight="1" x14ac:dyDescent="0.25">
      <c r="A29" s="157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</row>
    <row r="30" spans="1:17" ht="15.75" customHeight="1" x14ac:dyDescent="0.25">
      <c r="A30" s="157"/>
      <c r="B30" s="299" t="s">
        <v>562</v>
      </c>
      <c r="C30" s="299"/>
      <c r="D30" s="179">
        <f>'BM 11 do Contrato'!E115/'BM 11 do Contrato'!E117</f>
        <v>60.940789473684212</v>
      </c>
      <c r="E30" s="180" t="s">
        <v>564</v>
      </c>
      <c r="F30" s="181">
        <f>D20*D30</f>
        <v>481.27988486842099</v>
      </c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</row>
    <row r="31" spans="1:17" ht="15.75" customHeight="1" x14ac:dyDescent="0.25">
      <c r="A31" s="157"/>
      <c r="B31" s="299" t="s">
        <v>563</v>
      </c>
      <c r="C31" s="299"/>
      <c r="D31" s="179">
        <f>'BM 11 do Contrato'!E116/'BM 11 do Contrato'!E117</f>
        <v>30.940789473684209</v>
      </c>
      <c r="E31" s="180" t="s">
        <v>564</v>
      </c>
      <c r="F31" s="181">
        <f>D31*D12</f>
        <v>241.33815789473681</v>
      </c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</row>
    <row r="32" spans="1:17" ht="15.75" customHeight="1" x14ac:dyDescent="0.25">
      <c r="A32" s="157"/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</row>
    <row r="33" spans="1:17" ht="15.75" customHeight="1" x14ac:dyDescent="0.25">
      <c r="A33" s="157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</row>
    <row r="34" spans="1:17" ht="15.75" customHeight="1" x14ac:dyDescent="0.25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</row>
    <row r="35" spans="1:17" ht="15.75" customHeight="1" x14ac:dyDescent="0.2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</row>
    <row r="36" spans="1:17" ht="15.75" customHeight="1" x14ac:dyDescent="0.2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</row>
    <row r="37" spans="1:17" ht="15.75" customHeight="1" x14ac:dyDescent="0.25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</row>
    <row r="38" spans="1:17" ht="15.75" customHeight="1" x14ac:dyDescent="0.2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</row>
    <row r="39" spans="1:17" ht="15.75" customHeight="1" x14ac:dyDescent="0.25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</row>
    <row r="40" spans="1:17" ht="15.75" customHeight="1" x14ac:dyDescent="0.25">
      <c r="A40" s="157"/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</row>
    <row r="41" spans="1:17" ht="15.75" customHeight="1" x14ac:dyDescent="0.25">
      <c r="A41" s="157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</row>
    <row r="42" spans="1:17" ht="15.75" customHeight="1" x14ac:dyDescent="0.25">
      <c r="A42" s="157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</row>
    <row r="43" spans="1:17" ht="15.75" customHeight="1" x14ac:dyDescent="0.25">
      <c r="A43" s="157"/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</row>
    <row r="44" spans="1:17" ht="15.75" customHeight="1" x14ac:dyDescent="0.25">
      <c r="A44" s="157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</row>
    <row r="45" spans="1:17" ht="15.75" customHeight="1" x14ac:dyDescent="0.25">
      <c r="A45" s="157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</row>
    <row r="46" spans="1:17" ht="15.75" customHeight="1" x14ac:dyDescent="0.25">
      <c r="A46" s="157"/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</row>
    <row r="47" spans="1:17" ht="15.75" customHeight="1" x14ac:dyDescent="0.25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</row>
    <row r="48" spans="1:17" ht="15.75" customHeight="1" x14ac:dyDescent="0.25">
      <c r="A48" s="157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</row>
    <row r="49" spans="1:17" ht="15.75" customHeight="1" x14ac:dyDescent="0.25">
      <c r="A49" s="157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</row>
    <row r="50" spans="1:17" ht="15.75" customHeight="1" x14ac:dyDescent="0.25">
      <c r="A50" s="157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</row>
    <row r="51" spans="1:17" ht="15.75" customHeight="1" x14ac:dyDescent="0.25">
      <c r="A51" s="157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</row>
    <row r="52" spans="1:17" ht="15.75" customHeight="1" x14ac:dyDescent="0.25">
      <c r="A52" s="157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</row>
    <row r="53" spans="1:17" ht="15.75" customHeight="1" x14ac:dyDescent="0.25">
      <c r="A53" s="157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</row>
    <row r="54" spans="1:17" ht="15.75" customHeight="1" x14ac:dyDescent="0.25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</row>
    <row r="55" spans="1:17" ht="15.75" customHeight="1" x14ac:dyDescent="0.25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</row>
    <row r="56" spans="1:17" ht="15.75" customHeight="1" x14ac:dyDescent="0.25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</row>
    <row r="57" spans="1:17" ht="15.75" customHeight="1" x14ac:dyDescent="0.25">
      <c r="A57" s="157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</row>
    <row r="58" spans="1:17" ht="15.75" customHeight="1" x14ac:dyDescent="0.2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</row>
    <row r="59" spans="1:17" ht="15.75" customHeight="1" x14ac:dyDescent="0.25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</row>
    <row r="60" spans="1:17" ht="15.75" customHeight="1" x14ac:dyDescent="0.25">
      <c r="A60" s="157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</row>
    <row r="61" spans="1:17" ht="15.75" customHeight="1" x14ac:dyDescent="0.25">
      <c r="A61" s="157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</row>
    <row r="62" spans="1:17" ht="15.75" customHeight="1" x14ac:dyDescent="0.25">
      <c r="A62" s="157"/>
      <c r="B62" s="157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</row>
    <row r="63" spans="1:17" ht="15.75" customHeight="1" x14ac:dyDescent="0.25">
      <c r="A63" s="157"/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</row>
    <row r="64" spans="1:17" ht="15.75" customHeight="1" x14ac:dyDescent="0.25">
      <c r="A64" s="157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</row>
    <row r="65" spans="1:17" ht="15.75" customHeight="1" x14ac:dyDescent="0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</row>
    <row r="66" spans="1:17" ht="15.75" customHeight="1" x14ac:dyDescent="0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</row>
    <row r="67" spans="1:17" ht="15.75" customHeight="1" x14ac:dyDescent="0.25">
      <c r="A67" s="157"/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</row>
    <row r="68" spans="1:17" ht="15.75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</row>
    <row r="69" spans="1:17" ht="15.75" customHeight="1" x14ac:dyDescent="0.25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</row>
    <row r="70" spans="1:17" ht="15.75" customHeight="1" x14ac:dyDescent="0.25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</row>
    <row r="71" spans="1:17" ht="15.75" customHeight="1" x14ac:dyDescent="0.25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</row>
    <row r="72" spans="1:17" ht="15.75" customHeight="1" x14ac:dyDescent="0.2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</row>
    <row r="73" spans="1:17" ht="15.75" customHeight="1" x14ac:dyDescent="0.25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</row>
    <row r="74" spans="1:17" ht="15.75" customHeight="1" x14ac:dyDescent="0.25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</row>
    <row r="75" spans="1:17" ht="15.75" customHeight="1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</row>
    <row r="76" spans="1:17" ht="15.75" customHeight="1" x14ac:dyDescent="0.25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</row>
    <row r="77" spans="1:17" ht="15.75" customHeight="1" x14ac:dyDescent="0.25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</row>
    <row r="78" spans="1:17" ht="15.75" customHeight="1" x14ac:dyDescent="0.25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</row>
    <row r="79" spans="1:17" ht="15.75" customHeight="1" x14ac:dyDescent="0.2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</row>
    <row r="80" spans="1:17" ht="15.75" customHeight="1" x14ac:dyDescent="0.2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</row>
    <row r="81" spans="1:17" ht="15.75" customHeight="1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</row>
    <row r="82" spans="1:17" ht="15.75" customHeight="1" x14ac:dyDescent="0.25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</row>
    <row r="83" spans="1:17" ht="15.75" customHeight="1" x14ac:dyDescent="0.25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</row>
    <row r="84" spans="1:17" ht="15.75" customHeight="1" x14ac:dyDescent="0.25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</row>
    <row r="85" spans="1:17" ht="15.75" customHeight="1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</row>
    <row r="86" spans="1:17" ht="15.75" customHeight="1" x14ac:dyDescent="0.2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</row>
    <row r="87" spans="1:17" ht="15.75" customHeight="1" x14ac:dyDescent="0.2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</row>
    <row r="88" spans="1:17" ht="15.75" customHeight="1" x14ac:dyDescent="0.2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</row>
    <row r="89" spans="1:17" ht="15.75" customHeight="1" x14ac:dyDescent="0.2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</row>
    <row r="90" spans="1:17" ht="15.75" customHeight="1" x14ac:dyDescent="0.2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</row>
    <row r="91" spans="1:17" ht="15.75" customHeight="1" x14ac:dyDescent="0.2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</row>
    <row r="92" spans="1:17" ht="15.75" customHeight="1" x14ac:dyDescent="0.2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</row>
    <row r="93" spans="1:17" ht="15.75" customHeight="1" x14ac:dyDescent="0.2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</row>
    <row r="94" spans="1:17" ht="15.75" customHeight="1" x14ac:dyDescent="0.2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</row>
    <row r="95" spans="1:17" ht="15.75" customHeight="1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</row>
    <row r="96" spans="1:17" ht="15.75" customHeight="1" x14ac:dyDescent="0.2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</row>
    <row r="97" spans="1:17" ht="15.75" customHeight="1" x14ac:dyDescent="0.2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</row>
    <row r="98" spans="1:17" ht="15.75" customHeight="1" x14ac:dyDescent="0.2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</row>
    <row r="99" spans="1:17" ht="15.75" customHeight="1" x14ac:dyDescent="0.2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</row>
    <row r="100" spans="1:17" ht="15.75" customHeight="1" x14ac:dyDescent="0.25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</row>
    <row r="101" spans="1:17" ht="15.75" customHeight="1" x14ac:dyDescent="0.25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</row>
    <row r="102" spans="1:17" ht="15.75" customHeight="1" x14ac:dyDescent="0.2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</row>
    <row r="103" spans="1:17" ht="15.75" customHeight="1" x14ac:dyDescent="0.25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</row>
    <row r="104" spans="1:17" ht="15.75" customHeight="1" x14ac:dyDescent="0.25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</row>
    <row r="105" spans="1:17" ht="15.75" customHeight="1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</row>
    <row r="106" spans="1:17" ht="15.75" customHeight="1" x14ac:dyDescent="0.2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</row>
    <row r="107" spans="1:17" ht="15.75" customHeight="1" x14ac:dyDescent="0.25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</row>
    <row r="108" spans="1:17" ht="15.75" customHeight="1" x14ac:dyDescent="0.25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</row>
    <row r="109" spans="1:17" ht="15.75" customHeight="1" x14ac:dyDescent="0.25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</row>
    <row r="110" spans="1:17" ht="15.75" customHeight="1" x14ac:dyDescent="0.25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</row>
    <row r="111" spans="1:17" ht="15.75" customHeight="1" x14ac:dyDescent="0.25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</row>
    <row r="112" spans="1:17" ht="15.75" customHeight="1" x14ac:dyDescent="0.25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</row>
    <row r="113" spans="1:17" ht="15.75" customHeight="1" x14ac:dyDescent="0.25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</row>
    <row r="114" spans="1:17" ht="15.75" customHeight="1" x14ac:dyDescent="0.25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</row>
    <row r="115" spans="1:17" ht="15.75" customHeight="1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</row>
    <row r="116" spans="1:17" ht="15.75" customHeight="1" x14ac:dyDescent="0.25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</row>
    <row r="117" spans="1:17" ht="15.75" customHeight="1" x14ac:dyDescent="0.25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</row>
    <row r="118" spans="1:17" ht="15.75" customHeight="1" x14ac:dyDescent="0.2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</row>
    <row r="119" spans="1:17" ht="15.75" customHeight="1" x14ac:dyDescent="0.25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</row>
    <row r="120" spans="1:17" ht="15.75" customHeight="1" x14ac:dyDescent="0.25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</row>
    <row r="121" spans="1:17" ht="15.75" customHeight="1" x14ac:dyDescent="0.25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</row>
    <row r="122" spans="1:17" ht="15.75" customHeight="1" x14ac:dyDescent="0.2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</row>
    <row r="123" spans="1:17" ht="15.75" customHeight="1" x14ac:dyDescent="0.2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</row>
    <row r="124" spans="1:17" ht="15.75" customHeight="1" x14ac:dyDescent="0.2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</row>
    <row r="125" spans="1:17" ht="15.75" customHeight="1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</row>
    <row r="126" spans="1:17" ht="15.75" customHeight="1" x14ac:dyDescent="0.25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</row>
    <row r="127" spans="1:17" ht="15.75" customHeight="1" x14ac:dyDescent="0.25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</row>
    <row r="128" spans="1:17" ht="15.75" customHeight="1" x14ac:dyDescent="0.2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</row>
    <row r="129" spans="1:17" ht="15.75" customHeight="1" x14ac:dyDescent="0.2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</row>
    <row r="130" spans="1:17" ht="15.75" customHeight="1" x14ac:dyDescent="0.2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</row>
    <row r="131" spans="1:17" ht="15.75" customHeight="1" x14ac:dyDescent="0.2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</row>
    <row r="132" spans="1:17" ht="15.75" customHeight="1" x14ac:dyDescent="0.25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</row>
    <row r="133" spans="1:17" ht="15.75" customHeight="1" x14ac:dyDescent="0.2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</row>
    <row r="134" spans="1:17" ht="15.75" customHeight="1" x14ac:dyDescent="0.25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</row>
    <row r="135" spans="1:17" ht="15.7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</row>
    <row r="136" spans="1:17" ht="15.75" customHeight="1" x14ac:dyDescent="0.25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</row>
    <row r="137" spans="1:17" ht="15.75" customHeight="1" x14ac:dyDescent="0.25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</row>
    <row r="138" spans="1:17" ht="15.75" customHeight="1" x14ac:dyDescent="0.25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</row>
    <row r="139" spans="1:17" ht="15.75" customHeight="1" x14ac:dyDescent="0.2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</row>
    <row r="140" spans="1:17" ht="15.75" customHeight="1" x14ac:dyDescent="0.25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</row>
    <row r="141" spans="1:17" ht="15.75" customHeight="1" x14ac:dyDescent="0.2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</row>
    <row r="142" spans="1:17" ht="15.75" customHeight="1" x14ac:dyDescent="0.2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</row>
    <row r="143" spans="1:17" ht="15.75" customHeight="1" x14ac:dyDescent="0.25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</row>
    <row r="144" spans="1:17" ht="15.75" customHeight="1" x14ac:dyDescent="0.25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</row>
    <row r="145" spans="1:17" ht="15.75" customHeight="1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</row>
    <row r="146" spans="1:17" ht="15.75" customHeight="1" x14ac:dyDescent="0.2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</row>
    <row r="147" spans="1:17" ht="15.75" customHeight="1" x14ac:dyDescent="0.25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</row>
    <row r="148" spans="1:17" ht="15.75" customHeight="1" x14ac:dyDescent="0.25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</row>
    <row r="149" spans="1:17" ht="15.75" customHeight="1" x14ac:dyDescent="0.25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</row>
    <row r="150" spans="1:17" ht="15.75" customHeight="1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</row>
    <row r="151" spans="1:17" ht="15.75" customHeight="1" x14ac:dyDescent="0.2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</row>
    <row r="152" spans="1:17" ht="15.75" customHeight="1" x14ac:dyDescent="0.25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</row>
    <row r="153" spans="1:17" ht="15.75" customHeight="1" x14ac:dyDescent="0.25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</row>
    <row r="154" spans="1:17" ht="15.75" customHeight="1" x14ac:dyDescent="0.25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</row>
    <row r="155" spans="1:17" ht="15.75" customHeight="1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</row>
    <row r="156" spans="1:17" ht="15.75" customHeight="1" x14ac:dyDescent="0.25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</row>
    <row r="157" spans="1:17" ht="15.75" customHeight="1" x14ac:dyDescent="0.25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</row>
    <row r="158" spans="1:17" ht="15.75" customHeight="1" x14ac:dyDescent="0.25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</row>
    <row r="159" spans="1:17" ht="15.75" customHeight="1" x14ac:dyDescent="0.25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</row>
    <row r="160" spans="1:17" ht="15.75" customHeight="1" x14ac:dyDescent="0.2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</row>
    <row r="161" spans="1:17" ht="15.75" customHeight="1" x14ac:dyDescent="0.25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</row>
    <row r="162" spans="1:17" ht="15.75" customHeight="1" x14ac:dyDescent="0.25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</row>
    <row r="163" spans="1:17" ht="15.75" customHeight="1" x14ac:dyDescent="0.25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</row>
    <row r="164" spans="1:17" ht="15.75" customHeight="1" x14ac:dyDescent="0.25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</row>
    <row r="165" spans="1:17" ht="15.75" customHeight="1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</row>
    <row r="166" spans="1:17" ht="15.75" customHeight="1" x14ac:dyDescent="0.25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</row>
    <row r="167" spans="1:17" ht="15.75" customHeight="1" x14ac:dyDescent="0.25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</row>
    <row r="168" spans="1:17" ht="15.75" customHeight="1" x14ac:dyDescent="0.25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</row>
    <row r="169" spans="1:17" ht="15.75" customHeight="1" x14ac:dyDescent="0.2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</row>
    <row r="170" spans="1:17" ht="15.75" customHeight="1" x14ac:dyDescent="0.25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</row>
    <row r="171" spans="1:17" ht="15.75" customHeight="1" x14ac:dyDescent="0.25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</row>
    <row r="172" spans="1:17" ht="15.75" customHeight="1" x14ac:dyDescent="0.25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</row>
    <row r="173" spans="1:17" ht="15.75" customHeight="1" x14ac:dyDescent="0.25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</row>
    <row r="174" spans="1:17" ht="15.75" customHeight="1" x14ac:dyDescent="0.25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</row>
    <row r="175" spans="1:17" ht="15.75" customHeight="1" x14ac:dyDescent="0.2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</row>
    <row r="176" spans="1:17" ht="15.75" customHeight="1" x14ac:dyDescent="0.25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</row>
    <row r="177" spans="1:17" ht="15.75" customHeight="1" x14ac:dyDescent="0.25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</row>
    <row r="178" spans="1:17" ht="15.75" customHeight="1" x14ac:dyDescent="0.2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</row>
    <row r="179" spans="1:17" ht="15.75" customHeight="1" x14ac:dyDescent="0.25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</row>
    <row r="180" spans="1:17" ht="15.75" customHeight="1" x14ac:dyDescent="0.25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</row>
    <row r="181" spans="1:17" ht="15.75" customHeight="1" x14ac:dyDescent="0.25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</row>
    <row r="182" spans="1:17" ht="15.75" customHeight="1" x14ac:dyDescent="0.25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</row>
    <row r="183" spans="1:17" ht="15.75" customHeight="1" x14ac:dyDescent="0.25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</row>
    <row r="184" spans="1:17" ht="15.75" customHeight="1" x14ac:dyDescent="0.25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</row>
    <row r="185" spans="1:17" ht="15.75" customHeight="1" x14ac:dyDescent="0.2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</row>
    <row r="186" spans="1:17" ht="15.75" customHeight="1" x14ac:dyDescent="0.25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</row>
    <row r="187" spans="1:17" ht="15.75" customHeight="1" x14ac:dyDescent="0.25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</row>
    <row r="188" spans="1:17" ht="15.75" customHeight="1" x14ac:dyDescent="0.25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</row>
    <row r="189" spans="1:17" ht="15.75" customHeight="1" x14ac:dyDescent="0.25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</row>
    <row r="190" spans="1:17" ht="15.75" customHeight="1" x14ac:dyDescent="0.25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</row>
    <row r="191" spans="1:17" ht="15.75" customHeight="1" x14ac:dyDescent="0.25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</row>
    <row r="192" spans="1:17" ht="15.75" customHeight="1" x14ac:dyDescent="0.25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</row>
    <row r="193" spans="1:17" ht="15.75" customHeight="1" x14ac:dyDescent="0.25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</row>
    <row r="194" spans="1:17" ht="15.75" customHeight="1" x14ac:dyDescent="0.25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</row>
    <row r="195" spans="1:17" ht="15.75" customHeight="1" x14ac:dyDescent="0.25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</row>
    <row r="196" spans="1:17" ht="15.75" customHeight="1" x14ac:dyDescent="0.25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</row>
    <row r="197" spans="1:17" ht="15.75" customHeight="1" x14ac:dyDescent="0.25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</row>
    <row r="198" spans="1:17" ht="15.75" customHeight="1" x14ac:dyDescent="0.25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</row>
    <row r="199" spans="1:17" ht="15.75" customHeight="1" x14ac:dyDescent="0.25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</row>
    <row r="200" spans="1:17" ht="15.75" customHeight="1" x14ac:dyDescent="0.25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</row>
    <row r="201" spans="1:17" ht="15.75" customHeight="1" x14ac:dyDescent="0.25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</row>
    <row r="202" spans="1:17" ht="15.75" customHeight="1" x14ac:dyDescent="0.25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</row>
    <row r="203" spans="1:17" ht="15.75" customHeight="1" x14ac:dyDescent="0.25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</row>
    <row r="204" spans="1:17" ht="15.75" customHeight="1" x14ac:dyDescent="0.25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</row>
    <row r="205" spans="1:17" ht="15.75" customHeight="1" x14ac:dyDescent="0.25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</row>
    <row r="206" spans="1:17" ht="15.7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</row>
    <row r="207" spans="1:17" ht="15.75" customHeight="1" x14ac:dyDescent="0.25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</row>
    <row r="208" spans="1:17" ht="15.75" customHeight="1" x14ac:dyDescent="0.25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</row>
    <row r="209" spans="1:17" ht="15.75" customHeight="1" x14ac:dyDescent="0.25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</row>
    <row r="210" spans="1:17" ht="15.75" customHeight="1" x14ac:dyDescent="0.25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</row>
    <row r="211" spans="1:17" ht="15.75" customHeight="1" x14ac:dyDescent="0.25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</row>
    <row r="212" spans="1:17" ht="15.75" customHeight="1" x14ac:dyDescent="0.25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</row>
    <row r="213" spans="1:17" ht="15.75" customHeight="1" x14ac:dyDescent="0.25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</row>
    <row r="214" spans="1:17" ht="15.75" customHeight="1" x14ac:dyDescent="0.25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</row>
    <row r="215" spans="1:17" ht="15.75" customHeight="1" x14ac:dyDescent="0.25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</row>
    <row r="216" spans="1:17" ht="15.75" customHeight="1" x14ac:dyDescent="0.25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</row>
    <row r="217" spans="1:17" ht="15.75" customHeight="1" x14ac:dyDescent="0.25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</row>
    <row r="218" spans="1:17" ht="15.75" customHeight="1" x14ac:dyDescent="0.25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</row>
    <row r="219" spans="1:17" ht="15.75" customHeight="1" x14ac:dyDescent="0.25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</row>
    <row r="220" spans="1:17" ht="15.75" customHeight="1" x14ac:dyDescent="0.25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</row>
    <row r="221" spans="1:17" ht="15.75" customHeight="1" x14ac:dyDescent="0.25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</row>
    <row r="222" spans="1:17" ht="15.75" customHeight="1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</row>
    <row r="223" spans="1:17" ht="15.75" customHeight="1" x14ac:dyDescent="0.25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</row>
    <row r="224" spans="1:17" ht="15.75" customHeight="1" x14ac:dyDescent="0.25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</row>
    <row r="225" spans="1:17" ht="15.75" customHeight="1" x14ac:dyDescent="0.25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</row>
    <row r="226" spans="1:17" ht="15.75" customHeight="1" x14ac:dyDescent="0.25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</row>
    <row r="227" spans="1:17" ht="15.75" customHeight="1" x14ac:dyDescent="0.25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</row>
    <row r="228" spans="1:17" ht="15.75" customHeight="1" x14ac:dyDescent="0.25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</row>
    <row r="229" spans="1:17" ht="15.75" customHeight="1" x14ac:dyDescent="0.25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</row>
    <row r="230" spans="1:17" ht="15.75" customHeight="1" x14ac:dyDescent="0.25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</row>
    <row r="231" spans="1:17" ht="15.75" customHeight="1" x14ac:dyDescent="0.25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</row>
    <row r="232" spans="1:17" ht="15.75" customHeight="1" x14ac:dyDescent="0.25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</row>
    <row r="233" spans="1:17" ht="15.75" customHeight="1" x14ac:dyDescent="0.25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</row>
    <row r="234" spans="1:17" ht="15.75" customHeight="1" x14ac:dyDescent="0.25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</row>
    <row r="235" spans="1:17" ht="15.75" customHeight="1" x14ac:dyDescent="0.25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</row>
    <row r="236" spans="1:17" ht="15.75" customHeight="1" x14ac:dyDescent="0.25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</row>
    <row r="237" spans="1:17" ht="15.75" customHeight="1" x14ac:dyDescent="0.25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</row>
    <row r="238" spans="1:17" ht="15.75" customHeight="1" x14ac:dyDescent="0.25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</row>
    <row r="239" spans="1:17" ht="15.75" customHeight="1" x14ac:dyDescent="0.25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</row>
    <row r="240" spans="1:17" ht="15.75" customHeight="1" x14ac:dyDescent="0.25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</row>
    <row r="241" spans="1:17" ht="15.75" customHeight="1" x14ac:dyDescent="0.25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</row>
    <row r="242" spans="1:17" ht="15.75" customHeight="1" x14ac:dyDescent="0.25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</row>
    <row r="243" spans="1:17" ht="15.75" customHeight="1" x14ac:dyDescent="0.25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</row>
    <row r="244" spans="1:17" ht="15.75" customHeight="1" x14ac:dyDescent="0.25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</row>
    <row r="245" spans="1:17" ht="15.75" customHeight="1" x14ac:dyDescent="0.25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</row>
    <row r="246" spans="1:17" ht="15.75" customHeight="1" x14ac:dyDescent="0.25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</row>
    <row r="247" spans="1:17" ht="15.75" customHeight="1" x14ac:dyDescent="0.25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</row>
    <row r="248" spans="1:17" ht="15.75" customHeight="1" x14ac:dyDescent="0.25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</row>
    <row r="249" spans="1:17" ht="15.75" customHeight="1" x14ac:dyDescent="0.25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</row>
    <row r="250" spans="1:17" ht="15.75" customHeight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</row>
    <row r="251" spans="1:17" ht="15.75" customHeight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</row>
    <row r="252" spans="1:17" ht="15.75" customHeight="1" x14ac:dyDescent="0.25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</row>
    <row r="253" spans="1:17" ht="15.75" customHeight="1" x14ac:dyDescent="0.25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</row>
    <row r="254" spans="1:17" ht="15.75" customHeight="1" x14ac:dyDescent="0.25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</row>
    <row r="255" spans="1:17" ht="15.75" customHeight="1" x14ac:dyDescent="0.25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</row>
    <row r="256" spans="1:17" ht="15.75" customHeight="1" x14ac:dyDescent="0.25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</row>
    <row r="257" spans="1:17" ht="15.75" customHeight="1" x14ac:dyDescent="0.25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</row>
    <row r="258" spans="1:17" ht="15.75" customHeight="1" x14ac:dyDescent="0.25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</row>
    <row r="259" spans="1:17" ht="15.75" customHeight="1" x14ac:dyDescent="0.25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</row>
    <row r="260" spans="1:17" ht="15.75" customHeight="1" x14ac:dyDescent="0.25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</row>
    <row r="261" spans="1:17" ht="15.75" customHeight="1" x14ac:dyDescent="0.25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</row>
    <row r="262" spans="1:17" ht="15.75" customHeight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</row>
    <row r="263" spans="1:17" ht="15.75" customHeight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</row>
    <row r="264" spans="1:17" ht="15.75" customHeight="1" x14ac:dyDescent="0.25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</row>
    <row r="265" spans="1:17" ht="15.75" customHeight="1" x14ac:dyDescent="0.25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</row>
    <row r="266" spans="1:17" ht="15.75" customHeight="1" x14ac:dyDescent="0.25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</row>
    <row r="267" spans="1:17" ht="15.75" customHeight="1" x14ac:dyDescent="0.25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</row>
    <row r="268" spans="1:17" ht="15.75" customHeight="1" x14ac:dyDescent="0.25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</row>
    <row r="269" spans="1:17" ht="15.75" customHeight="1" x14ac:dyDescent="0.25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</row>
    <row r="270" spans="1:17" ht="15.75" customHeight="1" x14ac:dyDescent="0.25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</row>
    <row r="271" spans="1:17" ht="15.75" customHeight="1" x14ac:dyDescent="0.25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</row>
    <row r="272" spans="1:17" ht="15.75" customHeight="1" x14ac:dyDescent="0.25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</row>
    <row r="273" spans="1:17" ht="15.75" customHeight="1" x14ac:dyDescent="0.25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</row>
    <row r="274" spans="1:17" ht="15.75" customHeight="1" x14ac:dyDescent="0.25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</row>
    <row r="275" spans="1:17" ht="15.75" customHeight="1" x14ac:dyDescent="0.25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</row>
    <row r="276" spans="1:17" ht="15.75" customHeight="1" x14ac:dyDescent="0.25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</row>
    <row r="277" spans="1:17" ht="15.75" customHeight="1" x14ac:dyDescent="0.2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</row>
    <row r="278" spans="1:17" ht="15.75" customHeight="1" x14ac:dyDescent="0.25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</row>
    <row r="279" spans="1:17" ht="15.75" customHeight="1" x14ac:dyDescent="0.25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</row>
    <row r="280" spans="1:17" ht="15.75" customHeight="1" x14ac:dyDescent="0.25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</row>
    <row r="281" spans="1:17" ht="15.75" customHeight="1" x14ac:dyDescent="0.25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</row>
    <row r="282" spans="1:17" ht="15.75" customHeight="1" x14ac:dyDescent="0.25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</row>
    <row r="283" spans="1:17" ht="15.75" customHeight="1" x14ac:dyDescent="0.25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</row>
    <row r="284" spans="1:17" ht="15.75" customHeight="1" x14ac:dyDescent="0.25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</row>
    <row r="285" spans="1:17" ht="15.75" customHeight="1" x14ac:dyDescent="0.25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</row>
    <row r="286" spans="1:17" ht="15.75" customHeight="1" x14ac:dyDescent="0.25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</row>
    <row r="287" spans="1:17" ht="15.75" customHeight="1" x14ac:dyDescent="0.25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</row>
    <row r="288" spans="1:17" ht="15.75" customHeight="1" x14ac:dyDescent="0.25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</row>
    <row r="289" spans="1:17" ht="15.75" customHeight="1" x14ac:dyDescent="0.25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</row>
    <row r="290" spans="1:17" ht="15.75" customHeight="1" x14ac:dyDescent="0.25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</row>
    <row r="291" spans="1:17" ht="15.75" customHeight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</row>
    <row r="292" spans="1:17" ht="15.75" customHeight="1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</row>
    <row r="293" spans="1:17" ht="15.75" customHeight="1" x14ac:dyDescent="0.25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</row>
    <row r="294" spans="1:17" ht="15.75" customHeight="1" x14ac:dyDescent="0.25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</row>
    <row r="295" spans="1:17" ht="15.75" customHeight="1" x14ac:dyDescent="0.25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</row>
    <row r="296" spans="1:17" ht="15.75" customHeight="1" x14ac:dyDescent="0.25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</row>
    <row r="297" spans="1:17" ht="15.75" customHeight="1" x14ac:dyDescent="0.25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</row>
    <row r="298" spans="1:17" ht="15.75" customHeight="1" x14ac:dyDescent="0.25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</row>
    <row r="299" spans="1:17" ht="15.75" customHeight="1" x14ac:dyDescent="0.25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</row>
    <row r="300" spans="1:17" ht="15.75" customHeight="1" x14ac:dyDescent="0.25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</row>
    <row r="301" spans="1:17" ht="15.75" customHeight="1" x14ac:dyDescent="0.25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</row>
    <row r="302" spans="1:17" ht="15.75" customHeight="1" x14ac:dyDescent="0.25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</row>
    <row r="303" spans="1:17" ht="15.75" customHeight="1" x14ac:dyDescent="0.25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</row>
    <row r="304" spans="1:17" ht="15.75" customHeight="1" x14ac:dyDescent="0.25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</row>
    <row r="305" spans="1:17" ht="15.75" customHeight="1" x14ac:dyDescent="0.25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</row>
    <row r="306" spans="1:17" ht="15.75" customHeight="1" x14ac:dyDescent="0.25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</row>
    <row r="307" spans="1:17" ht="15.75" customHeight="1" x14ac:dyDescent="0.25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</row>
    <row r="308" spans="1:17" ht="15.75" customHeight="1" x14ac:dyDescent="0.25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</row>
    <row r="309" spans="1:17" ht="15.75" customHeight="1" x14ac:dyDescent="0.25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</row>
    <row r="310" spans="1:17" ht="15.75" customHeight="1" x14ac:dyDescent="0.25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</row>
    <row r="311" spans="1:17" ht="15.75" customHeight="1" x14ac:dyDescent="0.25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</row>
    <row r="312" spans="1:17" ht="15.75" customHeight="1" x14ac:dyDescent="0.25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</row>
    <row r="313" spans="1:17" ht="15.75" customHeight="1" x14ac:dyDescent="0.25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</row>
    <row r="314" spans="1:17" ht="15.75" customHeight="1" x14ac:dyDescent="0.25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</row>
    <row r="315" spans="1:17" ht="15.75" customHeight="1" x14ac:dyDescent="0.25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</row>
    <row r="316" spans="1:17" ht="15.75" customHeight="1" x14ac:dyDescent="0.25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</row>
    <row r="317" spans="1:17" ht="15.75" customHeight="1" x14ac:dyDescent="0.25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</row>
    <row r="318" spans="1:17" ht="15.75" customHeight="1" x14ac:dyDescent="0.25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</row>
    <row r="319" spans="1:17" ht="15.75" customHeight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</row>
    <row r="320" spans="1:17" ht="15.75" customHeight="1" x14ac:dyDescent="0.2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</row>
    <row r="321" spans="1:17" ht="15.75" customHeight="1" x14ac:dyDescent="0.25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</row>
    <row r="322" spans="1:17" ht="15.75" customHeight="1" x14ac:dyDescent="0.25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</row>
    <row r="323" spans="1:17" ht="15.75" customHeight="1" x14ac:dyDescent="0.25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</row>
    <row r="324" spans="1:17" ht="15.75" customHeight="1" x14ac:dyDescent="0.25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</row>
    <row r="325" spans="1:17" ht="15.75" customHeight="1" x14ac:dyDescent="0.25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</row>
    <row r="326" spans="1:17" ht="15.75" customHeight="1" x14ac:dyDescent="0.25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</row>
    <row r="327" spans="1:17" ht="15.75" customHeight="1" x14ac:dyDescent="0.25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</row>
    <row r="328" spans="1:17" ht="15.75" customHeight="1" x14ac:dyDescent="0.25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</row>
    <row r="329" spans="1:17" ht="15.75" customHeight="1" x14ac:dyDescent="0.25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</row>
    <row r="330" spans="1:17" ht="15.75" customHeight="1" x14ac:dyDescent="0.25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</row>
    <row r="331" spans="1:17" ht="15.75" customHeight="1" x14ac:dyDescent="0.25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</row>
    <row r="332" spans="1:17" ht="15.75" customHeight="1" x14ac:dyDescent="0.25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</row>
    <row r="333" spans="1:17" ht="15.75" customHeight="1" x14ac:dyDescent="0.25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</row>
    <row r="334" spans="1:17" ht="15.75" customHeight="1" x14ac:dyDescent="0.25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</row>
    <row r="335" spans="1:17" ht="15.75" customHeight="1" x14ac:dyDescent="0.25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</row>
    <row r="336" spans="1:17" ht="15.75" customHeight="1" x14ac:dyDescent="0.25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</row>
    <row r="337" spans="1:17" ht="15.75" customHeight="1" x14ac:dyDescent="0.25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</row>
    <row r="338" spans="1:17" ht="15.75" customHeight="1" x14ac:dyDescent="0.25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</row>
    <row r="339" spans="1:17" ht="15.75" customHeight="1" x14ac:dyDescent="0.25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</row>
    <row r="340" spans="1:17" ht="15.75" customHeight="1" x14ac:dyDescent="0.25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</row>
    <row r="341" spans="1:17" ht="15.75" customHeight="1" x14ac:dyDescent="0.25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</row>
    <row r="342" spans="1:17" ht="15.75" customHeight="1" x14ac:dyDescent="0.25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</row>
    <row r="343" spans="1:17" ht="15.75" customHeight="1" x14ac:dyDescent="0.25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</row>
    <row r="344" spans="1:17" ht="15.75" customHeight="1" x14ac:dyDescent="0.25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</row>
    <row r="345" spans="1:17" ht="15.75" customHeight="1" x14ac:dyDescent="0.25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</row>
    <row r="346" spans="1:17" ht="15.75" customHeight="1" x14ac:dyDescent="0.25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</row>
    <row r="347" spans="1:17" ht="15.75" customHeight="1" x14ac:dyDescent="0.25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</row>
    <row r="348" spans="1:17" ht="15.75" customHeight="1" x14ac:dyDescent="0.25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</row>
    <row r="349" spans="1:17" ht="15.75" customHeight="1" x14ac:dyDescent="0.25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</row>
    <row r="350" spans="1:17" ht="15.75" customHeight="1" x14ac:dyDescent="0.25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</row>
    <row r="351" spans="1:17" ht="15.75" customHeight="1" x14ac:dyDescent="0.25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</row>
    <row r="352" spans="1:17" ht="15.75" customHeight="1" x14ac:dyDescent="0.25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</row>
    <row r="353" spans="1:17" ht="15.75" customHeight="1" x14ac:dyDescent="0.25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</row>
    <row r="354" spans="1:17" ht="15.75" customHeight="1" x14ac:dyDescent="0.25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</row>
    <row r="355" spans="1:17" ht="15.75" customHeight="1" x14ac:dyDescent="0.25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</row>
    <row r="356" spans="1:17" ht="15.75" customHeight="1" x14ac:dyDescent="0.25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</row>
    <row r="357" spans="1:17" ht="15.75" customHeight="1" x14ac:dyDescent="0.25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</row>
    <row r="358" spans="1:17" ht="15.75" customHeight="1" x14ac:dyDescent="0.25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</row>
    <row r="359" spans="1:17" ht="15.75" customHeight="1" x14ac:dyDescent="0.25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</row>
    <row r="360" spans="1:17" ht="15.75" customHeight="1" x14ac:dyDescent="0.25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</row>
    <row r="361" spans="1:17" ht="15.75" customHeight="1" x14ac:dyDescent="0.25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</row>
    <row r="362" spans="1:17" ht="15.75" customHeight="1" x14ac:dyDescent="0.25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</row>
    <row r="363" spans="1:17" ht="15.75" customHeight="1" x14ac:dyDescent="0.25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</row>
    <row r="364" spans="1:17" ht="15.75" customHeight="1" x14ac:dyDescent="0.25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</row>
    <row r="365" spans="1:17" ht="15.75" customHeight="1" x14ac:dyDescent="0.25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</row>
    <row r="366" spans="1:17" ht="15.75" customHeight="1" x14ac:dyDescent="0.25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</row>
    <row r="367" spans="1:17" ht="15.75" customHeight="1" x14ac:dyDescent="0.25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</row>
    <row r="368" spans="1:17" ht="15.75" customHeight="1" x14ac:dyDescent="0.25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</row>
    <row r="369" spans="1:17" ht="15.75" customHeight="1" x14ac:dyDescent="0.25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</row>
    <row r="370" spans="1:17" ht="15.75" customHeight="1" x14ac:dyDescent="0.25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</row>
    <row r="371" spans="1:17" ht="15.75" customHeight="1" x14ac:dyDescent="0.25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</row>
    <row r="372" spans="1:17" ht="15.75" customHeight="1" x14ac:dyDescent="0.25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</row>
    <row r="373" spans="1:17" ht="15.75" customHeight="1" x14ac:dyDescent="0.25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</row>
    <row r="374" spans="1:17" ht="15.75" customHeight="1" x14ac:dyDescent="0.25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</row>
    <row r="375" spans="1:17" ht="15.75" customHeight="1" x14ac:dyDescent="0.25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</row>
    <row r="376" spans="1:17" ht="15.75" customHeight="1" x14ac:dyDescent="0.25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</row>
    <row r="377" spans="1:17" ht="15.75" customHeight="1" x14ac:dyDescent="0.25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</row>
    <row r="378" spans="1:17" ht="15.75" customHeight="1" x14ac:dyDescent="0.25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</row>
    <row r="379" spans="1:17" ht="15.75" customHeight="1" x14ac:dyDescent="0.25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</row>
    <row r="380" spans="1:17" ht="15.75" customHeight="1" x14ac:dyDescent="0.25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</row>
    <row r="381" spans="1:17" ht="15.75" customHeight="1" x14ac:dyDescent="0.25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</row>
    <row r="382" spans="1:17" ht="15.75" customHeight="1" x14ac:dyDescent="0.25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</row>
    <row r="383" spans="1:17" ht="15.75" customHeight="1" x14ac:dyDescent="0.25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</row>
    <row r="384" spans="1:17" ht="15.75" customHeight="1" x14ac:dyDescent="0.25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</row>
    <row r="385" spans="1:17" ht="15.75" customHeight="1" x14ac:dyDescent="0.25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</row>
    <row r="386" spans="1:17" ht="15.75" customHeight="1" x14ac:dyDescent="0.25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</row>
    <row r="387" spans="1:17" ht="15.75" customHeight="1" x14ac:dyDescent="0.25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</row>
    <row r="388" spans="1:17" ht="15.75" customHeight="1" x14ac:dyDescent="0.25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</row>
    <row r="389" spans="1:17" ht="15.75" customHeight="1" x14ac:dyDescent="0.25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</row>
    <row r="390" spans="1:17" ht="15.75" customHeight="1" x14ac:dyDescent="0.25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</row>
    <row r="391" spans="1:17" ht="15.75" customHeight="1" x14ac:dyDescent="0.25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</row>
    <row r="392" spans="1:17" ht="15.75" customHeight="1" x14ac:dyDescent="0.25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</row>
    <row r="393" spans="1:17" ht="15.75" customHeight="1" x14ac:dyDescent="0.25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</row>
    <row r="394" spans="1:17" ht="15.75" customHeight="1" x14ac:dyDescent="0.25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</row>
    <row r="395" spans="1:17" ht="15.75" customHeight="1" x14ac:dyDescent="0.25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</row>
    <row r="396" spans="1:17" ht="15.75" customHeight="1" x14ac:dyDescent="0.25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</row>
    <row r="397" spans="1:17" ht="15.75" customHeight="1" x14ac:dyDescent="0.25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</row>
    <row r="398" spans="1:17" ht="15.75" customHeight="1" x14ac:dyDescent="0.25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</row>
    <row r="399" spans="1:17" ht="15.75" customHeight="1" x14ac:dyDescent="0.25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</row>
    <row r="400" spans="1:17" ht="15.75" customHeight="1" x14ac:dyDescent="0.25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</row>
    <row r="401" spans="1:17" ht="15.75" customHeight="1" x14ac:dyDescent="0.25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</row>
    <row r="402" spans="1:17" ht="15.75" customHeight="1" x14ac:dyDescent="0.25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</row>
    <row r="403" spans="1:17" ht="15.75" customHeight="1" x14ac:dyDescent="0.25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</row>
    <row r="404" spans="1:17" ht="15.75" customHeight="1" x14ac:dyDescent="0.25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</row>
    <row r="405" spans="1:17" ht="15.75" customHeight="1" x14ac:dyDescent="0.25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</row>
    <row r="406" spans="1:17" ht="15.75" customHeight="1" x14ac:dyDescent="0.25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</row>
    <row r="407" spans="1:17" ht="15.75" customHeight="1" x14ac:dyDescent="0.25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</row>
    <row r="408" spans="1:17" ht="15.75" customHeight="1" x14ac:dyDescent="0.25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</row>
    <row r="409" spans="1:17" ht="15.75" customHeight="1" x14ac:dyDescent="0.25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</row>
    <row r="410" spans="1:17" ht="15.75" customHeight="1" x14ac:dyDescent="0.25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</row>
    <row r="411" spans="1:17" ht="15.75" customHeight="1" x14ac:dyDescent="0.25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</row>
    <row r="412" spans="1:17" ht="15.75" customHeight="1" x14ac:dyDescent="0.25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</row>
    <row r="413" spans="1:17" ht="15.75" customHeight="1" x14ac:dyDescent="0.25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</row>
    <row r="414" spans="1:17" ht="15.75" customHeight="1" x14ac:dyDescent="0.25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</row>
    <row r="415" spans="1:17" ht="15.75" customHeight="1" x14ac:dyDescent="0.25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</row>
    <row r="416" spans="1:17" ht="15.75" customHeight="1" x14ac:dyDescent="0.25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</row>
    <row r="417" spans="1:17" ht="15.75" customHeight="1" x14ac:dyDescent="0.25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</row>
    <row r="418" spans="1:17" ht="15.75" customHeight="1" x14ac:dyDescent="0.25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</row>
    <row r="419" spans="1:17" ht="15.75" customHeight="1" x14ac:dyDescent="0.25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</row>
    <row r="420" spans="1:17" ht="15.75" customHeight="1" x14ac:dyDescent="0.25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</row>
    <row r="421" spans="1:17" ht="15.75" customHeight="1" x14ac:dyDescent="0.25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</row>
    <row r="422" spans="1:17" ht="15.75" customHeight="1" x14ac:dyDescent="0.25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</row>
    <row r="423" spans="1:17" ht="15.75" customHeight="1" x14ac:dyDescent="0.25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</row>
    <row r="424" spans="1:17" ht="15.75" customHeight="1" x14ac:dyDescent="0.25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</row>
    <row r="425" spans="1:17" ht="15.75" customHeight="1" x14ac:dyDescent="0.25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</row>
    <row r="426" spans="1:17" ht="15.75" customHeight="1" x14ac:dyDescent="0.25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</row>
    <row r="427" spans="1:17" ht="15.75" customHeight="1" x14ac:dyDescent="0.25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</row>
    <row r="428" spans="1:17" ht="15.75" customHeight="1" x14ac:dyDescent="0.25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</row>
    <row r="429" spans="1:17" ht="15.75" customHeight="1" x14ac:dyDescent="0.25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</row>
    <row r="430" spans="1:17" ht="15.75" customHeight="1" x14ac:dyDescent="0.25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</row>
    <row r="431" spans="1:17" ht="15.75" customHeight="1" x14ac:dyDescent="0.25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</row>
    <row r="432" spans="1:17" ht="15.75" customHeight="1" x14ac:dyDescent="0.25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</row>
    <row r="433" spans="1:17" ht="15.75" customHeight="1" x14ac:dyDescent="0.25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</row>
    <row r="434" spans="1:17" ht="15.75" customHeight="1" x14ac:dyDescent="0.25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</row>
    <row r="435" spans="1:17" ht="15.75" customHeight="1" x14ac:dyDescent="0.25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</row>
    <row r="436" spans="1:17" ht="15.75" customHeight="1" x14ac:dyDescent="0.25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</row>
    <row r="437" spans="1:17" ht="15.75" customHeight="1" x14ac:dyDescent="0.25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</row>
    <row r="438" spans="1:17" ht="15.75" customHeight="1" x14ac:dyDescent="0.25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</row>
    <row r="439" spans="1:17" ht="15.75" customHeight="1" x14ac:dyDescent="0.25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</row>
    <row r="440" spans="1:17" ht="15.75" customHeight="1" x14ac:dyDescent="0.25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</row>
    <row r="441" spans="1:17" ht="15.75" customHeight="1" x14ac:dyDescent="0.25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</row>
    <row r="442" spans="1:17" ht="15.75" customHeight="1" x14ac:dyDescent="0.25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</row>
    <row r="443" spans="1:17" ht="15.75" customHeight="1" x14ac:dyDescent="0.25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</row>
    <row r="444" spans="1:17" ht="15.75" customHeight="1" x14ac:dyDescent="0.25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</row>
    <row r="445" spans="1:17" ht="15.75" customHeight="1" x14ac:dyDescent="0.25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</row>
    <row r="446" spans="1:17" ht="15.75" customHeight="1" x14ac:dyDescent="0.25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</row>
    <row r="447" spans="1:17" ht="15.75" customHeight="1" x14ac:dyDescent="0.25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</row>
    <row r="448" spans="1:17" ht="15.75" customHeight="1" x14ac:dyDescent="0.25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</row>
    <row r="449" spans="1:17" ht="15.75" customHeight="1" x14ac:dyDescent="0.25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</row>
    <row r="450" spans="1:17" ht="15.75" customHeight="1" x14ac:dyDescent="0.25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</row>
    <row r="451" spans="1:17" ht="15.75" customHeight="1" x14ac:dyDescent="0.25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</row>
    <row r="452" spans="1:17" ht="15.75" customHeight="1" x14ac:dyDescent="0.25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</row>
    <row r="453" spans="1:17" ht="15.75" customHeight="1" x14ac:dyDescent="0.25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</row>
    <row r="454" spans="1:17" ht="15.75" customHeight="1" x14ac:dyDescent="0.25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</row>
    <row r="455" spans="1:17" ht="15.75" customHeight="1" x14ac:dyDescent="0.25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</row>
    <row r="456" spans="1:17" ht="15.75" customHeight="1" x14ac:dyDescent="0.25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</row>
    <row r="457" spans="1:17" ht="15.75" customHeight="1" x14ac:dyDescent="0.25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</row>
    <row r="458" spans="1:17" ht="15.75" customHeight="1" x14ac:dyDescent="0.25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</row>
    <row r="459" spans="1:17" ht="15.75" customHeight="1" x14ac:dyDescent="0.25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</row>
    <row r="460" spans="1:17" ht="15.75" customHeight="1" x14ac:dyDescent="0.25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</row>
    <row r="461" spans="1:17" ht="15.75" customHeight="1" x14ac:dyDescent="0.25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</row>
    <row r="462" spans="1:17" ht="15.75" customHeight="1" x14ac:dyDescent="0.25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</row>
    <row r="463" spans="1:17" ht="15.75" customHeight="1" x14ac:dyDescent="0.25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</row>
    <row r="464" spans="1:17" ht="15.75" customHeight="1" x14ac:dyDescent="0.25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</row>
    <row r="465" spans="1:17" ht="15.75" customHeight="1" x14ac:dyDescent="0.25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</row>
    <row r="466" spans="1:17" ht="15.75" customHeight="1" x14ac:dyDescent="0.25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</row>
    <row r="467" spans="1:17" ht="15.75" customHeight="1" x14ac:dyDescent="0.25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</row>
    <row r="468" spans="1:17" ht="15.75" customHeight="1" x14ac:dyDescent="0.25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</row>
    <row r="469" spans="1:17" ht="15.75" customHeight="1" x14ac:dyDescent="0.25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</row>
    <row r="470" spans="1:17" ht="15.75" customHeight="1" x14ac:dyDescent="0.25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</row>
    <row r="471" spans="1:17" ht="15.75" customHeight="1" x14ac:dyDescent="0.25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</row>
    <row r="472" spans="1:17" ht="15.75" customHeight="1" x14ac:dyDescent="0.25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</row>
    <row r="473" spans="1:17" ht="15.75" customHeight="1" x14ac:dyDescent="0.25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</row>
    <row r="474" spans="1:17" ht="15.75" customHeight="1" x14ac:dyDescent="0.25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</row>
    <row r="475" spans="1:17" ht="15.75" customHeight="1" x14ac:dyDescent="0.25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</row>
    <row r="476" spans="1:17" ht="15.75" customHeight="1" x14ac:dyDescent="0.25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</row>
    <row r="477" spans="1:17" ht="15.75" customHeight="1" x14ac:dyDescent="0.25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</row>
    <row r="478" spans="1:17" ht="15.75" customHeight="1" x14ac:dyDescent="0.25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</row>
    <row r="479" spans="1:17" ht="15.75" customHeight="1" x14ac:dyDescent="0.25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</row>
    <row r="480" spans="1:17" ht="15.75" customHeight="1" x14ac:dyDescent="0.25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</row>
    <row r="481" spans="1:17" ht="15.75" customHeight="1" x14ac:dyDescent="0.25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</row>
    <row r="482" spans="1:17" ht="15.75" customHeight="1" x14ac:dyDescent="0.25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</row>
    <row r="483" spans="1:17" ht="15.75" customHeight="1" x14ac:dyDescent="0.25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</row>
    <row r="484" spans="1:17" ht="15.75" customHeight="1" x14ac:dyDescent="0.25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</row>
    <row r="485" spans="1:17" ht="15.75" customHeight="1" x14ac:dyDescent="0.25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</row>
    <row r="486" spans="1:17" ht="15.75" customHeight="1" x14ac:dyDescent="0.25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</row>
    <row r="487" spans="1:17" ht="15.75" customHeight="1" x14ac:dyDescent="0.25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</row>
    <row r="488" spans="1:17" ht="15.75" customHeight="1" x14ac:dyDescent="0.25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</row>
    <row r="489" spans="1:17" ht="15.75" customHeight="1" x14ac:dyDescent="0.25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</row>
    <row r="490" spans="1:17" ht="15.75" customHeight="1" x14ac:dyDescent="0.25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</row>
    <row r="491" spans="1:17" ht="15.75" customHeight="1" x14ac:dyDescent="0.25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</row>
    <row r="492" spans="1:17" ht="15.75" customHeight="1" x14ac:dyDescent="0.25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</row>
    <row r="493" spans="1:17" ht="15.75" customHeight="1" x14ac:dyDescent="0.25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</row>
    <row r="494" spans="1:17" ht="15.75" customHeight="1" x14ac:dyDescent="0.25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</row>
    <row r="495" spans="1:17" ht="15.75" customHeight="1" x14ac:dyDescent="0.25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</row>
    <row r="496" spans="1:17" ht="15.75" customHeight="1" x14ac:dyDescent="0.25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</row>
    <row r="497" spans="1:17" ht="15.75" customHeight="1" x14ac:dyDescent="0.25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</row>
    <row r="498" spans="1:17" ht="15.75" customHeight="1" x14ac:dyDescent="0.25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</row>
    <row r="499" spans="1:17" ht="15.75" customHeight="1" x14ac:dyDescent="0.25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</row>
    <row r="500" spans="1:17" ht="15.75" customHeight="1" x14ac:dyDescent="0.25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</row>
    <row r="501" spans="1:17" ht="15.75" customHeight="1" x14ac:dyDescent="0.25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</row>
    <row r="502" spans="1:17" ht="15.75" customHeight="1" x14ac:dyDescent="0.25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</row>
    <row r="503" spans="1:17" ht="15.75" customHeight="1" x14ac:dyDescent="0.25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</row>
    <row r="504" spans="1:17" ht="15.75" customHeight="1" x14ac:dyDescent="0.25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</row>
    <row r="505" spans="1:17" ht="15.75" customHeight="1" x14ac:dyDescent="0.25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</row>
    <row r="506" spans="1:17" ht="15.75" customHeight="1" x14ac:dyDescent="0.25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</row>
    <row r="507" spans="1:17" ht="15.75" customHeight="1" x14ac:dyDescent="0.25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</row>
    <row r="508" spans="1:17" ht="15.75" customHeight="1" x14ac:dyDescent="0.25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</row>
    <row r="509" spans="1:17" ht="15.75" customHeight="1" x14ac:dyDescent="0.25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</row>
    <row r="510" spans="1:17" ht="15.75" customHeight="1" x14ac:dyDescent="0.25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</row>
    <row r="511" spans="1:17" ht="15.75" customHeight="1" x14ac:dyDescent="0.25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</row>
    <row r="512" spans="1:17" ht="15.75" customHeight="1" x14ac:dyDescent="0.25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</row>
    <row r="513" spans="1:17" ht="15.75" customHeight="1" x14ac:dyDescent="0.25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</row>
    <row r="514" spans="1:17" ht="15.75" customHeight="1" x14ac:dyDescent="0.25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</row>
    <row r="515" spans="1:17" ht="15.75" customHeight="1" x14ac:dyDescent="0.25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</row>
    <row r="516" spans="1:17" ht="15.75" customHeight="1" x14ac:dyDescent="0.25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</row>
    <row r="517" spans="1:17" ht="15.75" customHeight="1" x14ac:dyDescent="0.25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</row>
    <row r="518" spans="1:17" ht="15.75" customHeight="1" x14ac:dyDescent="0.25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</row>
    <row r="519" spans="1:17" ht="15.75" customHeight="1" x14ac:dyDescent="0.25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</row>
    <row r="520" spans="1:17" ht="15.75" customHeight="1" x14ac:dyDescent="0.25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</row>
    <row r="521" spans="1:17" ht="15.75" customHeight="1" x14ac:dyDescent="0.25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</row>
    <row r="522" spans="1:17" ht="15.75" customHeight="1" x14ac:dyDescent="0.25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</row>
    <row r="523" spans="1:17" ht="15.75" customHeight="1" x14ac:dyDescent="0.25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</row>
    <row r="524" spans="1:17" ht="15.75" customHeight="1" x14ac:dyDescent="0.25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</row>
    <row r="525" spans="1:17" ht="15.75" customHeight="1" x14ac:dyDescent="0.25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</row>
    <row r="526" spans="1:17" ht="15.75" customHeight="1" x14ac:dyDescent="0.25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</row>
    <row r="527" spans="1:17" ht="15.75" customHeight="1" x14ac:dyDescent="0.25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</row>
    <row r="528" spans="1:17" ht="15.75" customHeight="1" x14ac:dyDescent="0.25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</row>
    <row r="529" spans="1:17" ht="15.75" customHeight="1" x14ac:dyDescent="0.25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</row>
    <row r="530" spans="1:17" ht="15.75" customHeight="1" x14ac:dyDescent="0.25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</row>
    <row r="531" spans="1:17" ht="15.75" customHeight="1" x14ac:dyDescent="0.25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</row>
    <row r="532" spans="1:17" ht="15.75" customHeight="1" x14ac:dyDescent="0.25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</row>
    <row r="533" spans="1:17" ht="15.75" customHeight="1" x14ac:dyDescent="0.25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</row>
    <row r="534" spans="1:17" ht="15.75" customHeight="1" x14ac:dyDescent="0.25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</row>
    <row r="535" spans="1:17" ht="15.75" customHeight="1" x14ac:dyDescent="0.25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</row>
    <row r="536" spans="1:17" ht="15.75" customHeight="1" x14ac:dyDescent="0.25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</row>
    <row r="537" spans="1:17" ht="15.75" customHeight="1" x14ac:dyDescent="0.25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</row>
    <row r="538" spans="1:17" ht="15.75" customHeight="1" x14ac:dyDescent="0.25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</row>
    <row r="539" spans="1:17" ht="15.75" customHeight="1" x14ac:dyDescent="0.25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</row>
    <row r="540" spans="1:17" ht="15.75" customHeight="1" x14ac:dyDescent="0.25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</row>
    <row r="541" spans="1:17" ht="15.75" customHeight="1" x14ac:dyDescent="0.25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</row>
    <row r="542" spans="1:17" ht="15.75" customHeight="1" x14ac:dyDescent="0.25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</row>
    <row r="543" spans="1:17" ht="15.75" customHeight="1" x14ac:dyDescent="0.25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</row>
    <row r="544" spans="1:17" ht="15.75" customHeight="1" x14ac:dyDescent="0.25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</row>
    <row r="545" spans="1:17" ht="15.75" customHeight="1" x14ac:dyDescent="0.25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</row>
    <row r="546" spans="1:17" ht="15.75" customHeight="1" x14ac:dyDescent="0.25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</row>
    <row r="547" spans="1:17" ht="15.75" customHeight="1" x14ac:dyDescent="0.25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</row>
    <row r="548" spans="1:17" ht="15.75" customHeight="1" x14ac:dyDescent="0.25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</row>
    <row r="549" spans="1:17" ht="15.75" customHeight="1" x14ac:dyDescent="0.25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</row>
    <row r="550" spans="1:17" ht="15.75" customHeight="1" x14ac:dyDescent="0.25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</row>
    <row r="551" spans="1:17" ht="15.75" customHeight="1" x14ac:dyDescent="0.25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</row>
    <row r="552" spans="1:17" ht="15.75" customHeight="1" x14ac:dyDescent="0.25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</row>
    <row r="553" spans="1:17" ht="15.75" customHeight="1" x14ac:dyDescent="0.25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</row>
    <row r="554" spans="1:17" ht="15.75" customHeight="1" x14ac:dyDescent="0.25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</row>
    <row r="555" spans="1:17" ht="15.75" customHeight="1" x14ac:dyDescent="0.25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</row>
    <row r="556" spans="1:17" ht="15.75" customHeight="1" x14ac:dyDescent="0.25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</row>
    <row r="557" spans="1:17" ht="15.75" customHeight="1" x14ac:dyDescent="0.25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</row>
    <row r="558" spans="1:17" ht="15.75" customHeight="1" x14ac:dyDescent="0.25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</row>
    <row r="559" spans="1:17" ht="15.75" customHeight="1" x14ac:dyDescent="0.25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</row>
    <row r="560" spans="1:17" ht="15.75" customHeight="1" x14ac:dyDescent="0.25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</row>
    <row r="561" spans="1:17" ht="15.75" customHeight="1" x14ac:dyDescent="0.25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</row>
    <row r="562" spans="1:17" ht="15.75" customHeight="1" x14ac:dyDescent="0.25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</row>
    <row r="563" spans="1:17" ht="15.75" customHeight="1" x14ac:dyDescent="0.25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</row>
    <row r="564" spans="1:17" ht="15.75" customHeight="1" x14ac:dyDescent="0.25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</row>
    <row r="565" spans="1:17" ht="15.75" customHeight="1" x14ac:dyDescent="0.25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</row>
    <row r="566" spans="1:17" ht="15.75" customHeight="1" x14ac:dyDescent="0.25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</row>
    <row r="567" spans="1:17" ht="15.75" customHeight="1" x14ac:dyDescent="0.25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</row>
    <row r="568" spans="1:17" ht="15.75" customHeight="1" x14ac:dyDescent="0.25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</row>
    <row r="569" spans="1:17" ht="15.75" customHeight="1" x14ac:dyDescent="0.25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</row>
    <row r="570" spans="1:17" ht="15.75" customHeight="1" x14ac:dyDescent="0.25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</row>
    <row r="571" spans="1:17" ht="15.75" customHeight="1" x14ac:dyDescent="0.25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</row>
    <row r="572" spans="1:17" ht="15.75" customHeight="1" x14ac:dyDescent="0.25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</row>
    <row r="573" spans="1:17" ht="15.75" customHeight="1" x14ac:dyDescent="0.25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</row>
    <row r="574" spans="1:17" ht="15.75" customHeight="1" x14ac:dyDescent="0.25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</row>
    <row r="575" spans="1:17" ht="15.75" customHeight="1" x14ac:dyDescent="0.25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</row>
    <row r="576" spans="1:17" ht="15.75" customHeight="1" x14ac:dyDescent="0.25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</row>
    <row r="577" spans="1:17" ht="15.75" customHeight="1" x14ac:dyDescent="0.25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</row>
    <row r="578" spans="1:17" ht="15.75" customHeight="1" x14ac:dyDescent="0.25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</row>
    <row r="579" spans="1:17" ht="15.75" customHeight="1" x14ac:dyDescent="0.25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</row>
    <row r="580" spans="1:17" ht="15.75" customHeight="1" x14ac:dyDescent="0.25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</row>
    <row r="581" spans="1:17" ht="15.75" customHeight="1" x14ac:dyDescent="0.25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</row>
    <row r="582" spans="1:17" ht="15.75" customHeight="1" x14ac:dyDescent="0.25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</row>
    <row r="583" spans="1:17" ht="15.75" customHeight="1" x14ac:dyDescent="0.25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</row>
    <row r="584" spans="1:17" ht="15.75" customHeight="1" x14ac:dyDescent="0.25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</row>
    <row r="585" spans="1:17" ht="15.75" customHeight="1" x14ac:dyDescent="0.25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</row>
    <row r="586" spans="1:17" ht="15.75" customHeight="1" x14ac:dyDescent="0.25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</row>
    <row r="587" spans="1:17" ht="15.75" customHeight="1" x14ac:dyDescent="0.25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</row>
    <row r="588" spans="1:17" ht="15.75" customHeight="1" x14ac:dyDescent="0.25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</row>
    <row r="589" spans="1:17" ht="15.75" customHeight="1" x14ac:dyDescent="0.25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</row>
    <row r="590" spans="1:17" ht="15.75" customHeight="1" x14ac:dyDescent="0.25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</row>
    <row r="591" spans="1:17" ht="15.75" customHeight="1" x14ac:dyDescent="0.25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</row>
    <row r="592" spans="1:17" ht="15.75" customHeight="1" x14ac:dyDescent="0.25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</row>
    <row r="593" spans="1:17" ht="15.75" customHeight="1" x14ac:dyDescent="0.25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</row>
    <row r="594" spans="1:17" ht="15.75" customHeight="1" x14ac:dyDescent="0.25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</row>
    <row r="595" spans="1:17" ht="15.75" customHeight="1" x14ac:dyDescent="0.25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</row>
    <row r="596" spans="1:17" ht="15.75" customHeight="1" x14ac:dyDescent="0.25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</row>
    <row r="597" spans="1:17" ht="15.75" customHeight="1" x14ac:dyDescent="0.25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</row>
    <row r="598" spans="1:17" ht="15.75" customHeight="1" x14ac:dyDescent="0.25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</row>
    <row r="599" spans="1:17" ht="15.75" customHeight="1" x14ac:dyDescent="0.25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</row>
    <row r="600" spans="1:17" ht="15.75" customHeight="1" x14ac:dyDescent="0.25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</row>
    <row r="601" spans="1:17" ht="15.75" customHeight="1" x14ac:dyDescent="0.25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</row>
    <row r="602" spans="1:17" ht="15.75" customHeight="1" x14ac:dyDescent="0.25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</row>
    <row r="603" spans="1:17" ht="15.75" customHeight="1" x14ac:dyDescent="0.25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</row>
    <row r="604" spans="1:17" ht="15.75" customHeight="1" x14ac:dyDescent="0.25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</row>
    <row r="605" spans="1:17" ht="15.75" customHeight="1" x14ac:dyDescent="0.25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</row>
    <row r="606" spans="1:17" ht="15.75" customHeight="1" x14ac:dyDescent="0.25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</row>
    <row r="607" spans="1:17" ht="15.75" customHeight="1" x14ac:dyDescent="0.25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</row>
    <row r="608" spans="1:17" ht="15.75" customHeight="1" x14ac:dyDescent="0.25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</row>
    <row r="609" spans="1:17" ht="15.75" customHeight="1" x14ac:dyDescent="0.25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</row>
    <row r="610" spans="1:17" ht="15.75" customHeight="1" x14ac:dyDescent="0.25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</row>
    <row r="611" spans="1:17" ht="15.75" customHeight="1" x14ac:dyDescent="0.25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</row>
    <row r="612" spans="1:17" ht="15.75" customHeight="1" x14ac:dyDescent="0.25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</row>
    <row r="613" spans="1:17" ht="15.75" customHeight="1" x14ac:dyDescent="0.25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</row>
    <row r="614" spans="1:17" ht="15.75" customHeight="1" x14ac:dyDescent="0.25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</row>
    <row r="615" spans="1:17" ht="15.75" customHeight="1" x14ac:dyDescent="0.25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</row>
    <row r="616" spans="1:17" ht="15.75" customHeight="1" x14ac:dyDescent="0.25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</row>
    <row r="617" spans="1:17" ht="15.75" customHeight="1" x14ac:dyDescent="0.25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</row>
    <row r="618" spans="1:17" ht="15.75" customHeight="1" x14ac:dyDescent="0.25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</row>
    <row r="619" spans="1:17" ht="15.75" customHeight="1" x14ac:dyDescent="0.25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</row>
    <row r="620" spans="1:17" ht="15.75" customHeight="1" x14ac:dyDescent="0.25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</row>
    <row r="621" spans="1:17" ht="15.75" customHeight="1" x14ac:dyDescent="0.25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</row>
    <row r="622" spans="1:17" ht="15.75" customHeight="1" x14ac:dyDescent="0.25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</row>
    <row r="623" spans="1:17" ht="15.75" customHeight="1" x14ac:dyDescent="0.25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</row>
    <row r="624" spans="1:17" ht="15.75" customHeight="1" x14ac:dyDescent="0.25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</row>
    <row r="625" spans="1:17" ht="15.75" customHeight="1" x14ac:dyDescent="0.25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</row>
    <row r="626" spans="1:17" ht="15.75" customHeight="1" x14ac:dyDescent="0.25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</row>
    <row r="627" spans="1:17" ht="15.75" customHeight="1" x14ac:dyDescent="0.25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</row>
    <row r="628" spans="1:17" ht="15.75" customHeight="1" x14ac:dyDescent="0.25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</row>
    <row r="629" spans="1:17" ht="15.75" customHeight="1" x14ac:dyDescent="0.25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</row>
    <row r="630" spans="1:17" ht="15.75" customHeight="1" x14ac:dyDescent="0.25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</row>
    <row r="631" spans="1:17" ht="15.75" customHeight="1" x14ac:dyDescent="0.25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</row>
    <row r="632" spans="1:17" ht="15.75" customHeight="1" x14ac:dyDescent="0.25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</row>
    <row r="633" spans="1:17" ht="15.75" customHeight="1" x14ac:dyDescent="0.25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</row>
    <row r="634" spans="1:17" ht="15.75" customHeight="1" x14ac:dyDescent="0.25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</row>
    <row r="635" spans="1:17" ht="15.75" customHeight="1" x14ac:dyDescent="0.25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</row>
    <row r="636" spans="1:17" ht="15.75" customHeight="1" x14ac:dyDescent="0.25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</row>
    <row r="637" spans="1:17" ht="15.75" customHeight="1" x14ac:dyDescent="0.25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</row>
    <row r="638" spans="1:17" ht="15.75" customHeight="1" x14ac:dyDescent="0.25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</row>
    <row r="639" spans="1:17" ht="15.75" customHeight="1" x14ac:dyDescent="0.25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</row>
    <row r="640" spans="1:17" ht="15.75" customHeight="1" x14ac:dyDescent="0.25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</row>
    <row r="641" spans="1:17" ht="15.75" customHeight="1" x14ac:dyDescent="0.25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</row>
    <row r="642" spans="1:17" ht="15.75" customHeight="1" x14ac:dyDescent="0.25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</row>
    <row r="643" spans="1:17" ht="15.75" customHeight="1" x14ac:dyDescent="0.25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</row>
    <row r="644" spans="1:17" ht="15.75" customHeight="1" x14ac:dyDescent="0.25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</row>
    <row r="645" spans="1:17" ht="15.75" customHeight="1" x14ac:dyDescent="0.25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</row>
    <row r="646" spans="1:17" ht="15.75" customHeight="1" x14ac:dyDescent="0.25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</row>
    <row r="647" spans="1:17" ht="15.75" customHeight="1" x14ac:dyDescent="0.25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</row>
    <row r="648" spans="1:17" ht="15.75" customHeight="1" x14ac:dyDescent="0.25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</row>
    <row r="649" spans="1:17" ht="15.75" customHeight="1" x14ac:dyDescent="0.25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</row>
    <row r="650" spans="1:17" ht="15.75" customHeight="1" x14ac:dyDescent="0.25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</row>
    <row r="651" spans="1:17" ht="15.75" customHeight="1" x14ac:dyDescent="0.25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</row>
    <row r="652" spans="1:17" ht="15.75" customHeight="1" x14ac:dyDescent="0.25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</row>
    <row r="653" spans="1:17" ht="15.75" customHeight="1" x14ac:dyDescent="0.25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</row>
    <row r="654" spans="1:17" ht="15.75" customHeight="1" x14ac:dyDescent="0.25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</row>
    <row r="655" spans="1:17" ht="15.75" customHeight="1" x14ac:dyDescent="0.25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</row>
    <row r="656" spans="1:17" ht="15.75" customHeight="1" x14ac:dyDescent="0.25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</row>
    <row r="657" spans="1:17" ht="15.75" customHeight="1" x14ac:dyDescent="0.25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</row>
    <row r="658" spans="1:17" ht="15.75" customHeight="1" x14ac:dyDescent="0.25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</row>
    <row r="659" spans="1:17" ht="15.75" customHeight="1" x14ac:dyDescent="0.25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</row>
    <row r="660" spans="1:17" ht="15.75" customHeight="1" x14ac:dyDescent="0.25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</row>
    <row r="661" spans="1:17" ht="15.75" customHeight="1" x14ac:dyDescent="0.25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</row>
    <row r="662" spans="1:17" ht="15.75" customHeight="1" x14ac:dyDescent="0.25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</row>
    <row r="663" spans="1:17" ht="15.75" customHeight="1" x14ac:dyDescent="0.25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</row>
    <row r="664" spans="1:17" ht="15.75" customHeight="1" x14ac:dyDescent="0.25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</row>
    <row r="665" spans="1:17" ht="15.75" customHeight="1" x14ac:dyDescent="0.25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</row>
    <row r="666" spans="1:17" ht="15.75" customHeight="1" x14ac:dyDescent="0.25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</row>
    <row r="667" spans="1:17" ht="15.75" customHeight="1" x14ac:dyDescent="0.25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</row>
    <row r="668" spans="1:17" ht="15.75" customHeight="1" x14ac:dyDescent="0.25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</row>
    <row r="669" spans="1:17" ht="15.75" customHeight="1" x14ac:dyDescent="0.25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</row>
    <row r="670" spans="1:17" ht="15.75" customHeight="1" x14ac:dyDescent="0.25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</row>
    <row r="671" spans="1:17" ht="15.75" customHeight="1" x14ac:dyDescent="0.25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</row>
    <row r="672" spans="1:17" ht="15.75" customHeight="1" x14ac:dyDescent="0.25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</row>
    <row r="673" spans="1:17" ht="15.75" customHeight="1" x14ac:dyDescent="0.25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</row>
    <row r="674" spans="1:17" ht="15.75" customHeight="1" x14ac:dyDescent="0.25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</row>
    <row r="675" spans="1:17" ht="15.75" customHeight="1" x14ac:dyDescent="0.25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</row>
    <row r="676" spans="1:17" ht="15.75" customHeight="1" x14ac:dyDescent="0.25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</row>
    <row r="677" spans="1:17" ht="15.75" customHeight="1" x14ac:dyDescent="0.25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</row>
    <row r="678" spans="1:17" ht="15.75" customHeight="1" x14ac:dyDescent="0.25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</row>
    <row r="679" spans="1:17" ht="15.75" customHeight="1" x14ac:dyDescent="0.25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</row>
    <row r="680" spans="1:17" ht="15.75" customHeight="1" x14ac:dyDescent="0.25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</row>
    <row r="681" spans="1:17" ht="15.75" customHeight="1" x14ac:dyDescent="0.25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</row>
    <row r="682" spans="1:17" ht="15.75" customHeight="1" x14ac:dyDescent="0.25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</row>
    <row r="683" spans="1:17" ht="15.75" customHeight="1" x14ac:dyDescent="0.25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</row>
    <row r="684" spans="1:17" ht="15.75" customHeight="1" x14ac:dyDescent="0.25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</row>
    <row r="685" spans="1:17" ht="15.75" customHeight="1" x14ac:dyDescent="0.25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</row>
    <row r="686" spans="1:17" ht="15.75" customHeight="1" x14ac:dyDescent="0.25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</row>
    <row r="687" spans="1:17" ht="15.75" customHeight="1" x14ac:dyDescent="0.25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</row>
    <row r="688" spans="1:17" ht="15.75" customHeight="1" x14ac:dyDescent="0.25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</row>
    <row r="689" spans="1:17" ht="15.75" customHeight="1" x14ac:dyDescent="0.25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</row>
    <row r="690" spans="1:17" ht="15.75" customHeight="1" x14ac:dyDescent="0.25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</row>
    <row r="691" spans="1:17" ht="15.75" customHeight="1" x14ac:dyDescent="0.25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</row>
    <row r="692" spans="1:17" ht="15.75" customHeight="1" x14ac:dyDescent="0.25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</row>
    <row r="693" spans="1:17" ht="15.75" customHeight="1" x14ac:dyDescent="0.25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</row>
    <row r="694" spans="1:17" ht="15.75" customHeight="1" x14ac:dyDescent="0.25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</row>
    <row r="695" spans="1:17" ht="15.75" customHeight="1" x14ac:dyDescent="0.25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</row>
    <row r="696" spans="1:17" ht="15.75" customHeight="1" x14ac:dyDescent="0.25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</row>
    <row r="697" spans="1:17" ht="15.75" customHeight="1" x14ac:dyDescent="0.25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</row>
    <row r="698" spans="1:17" ht="15.75" customHeight="1" x14ac:dyDescent="0.25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</row>
    <row r="699" spans="1:17" ht="15.75" customHeight="1" x14ac:dyDescent="0.25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</row>
    <row r="700" spans="1:17" ht="15.75" customHeight="1" x14ac:dyDescent="0.25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</row>
    <row r="701" spans="1:17" ht="15.75" customHeight="1" x14ac:dyDescent="0.25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</row>
    <row r="702" spans="1:17" ht="15.75" customHeight="1" x14ac:dyDescent="0.25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</row>
    <row r="703" spans="1:17" ht="15.75" customHeight="1" x14ac:dyDescent="0.25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</row>
    <row r="704" spans="1:17" ht="15.75" customHeight="1" x14ac:dyDescent="0.25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</row>
    <row r="705" spans="1:17" ht="15.75" customHeight="1" x14ac:dyDescent="0.25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</row>
    <row r="706" spans="1:17" ht="15.75" customHeight="1" x14ac:dyDescent="0.25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</row>
    <row r="707" spans="1:17" ht="15.75" customHeight="1" x14ac:dyDescent="0.25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</row>
    <row r="708" spans="1:17" ht="15.75" customHeight="1" x14ac:dyDescent="0.25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</row>
    <row r="709" spans="1:17" ht="15.75" customHeight="1" x14ac:dyDescent="0.25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</row>
    <row r="710" spans="1:17" ht="15.75" customHeight="1" x14ac:dyDescent="0.25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</row>
    <row r="711" spans="1:17" ht="15.75" customHeight="1" x14ac:dyDescent="0.25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</row>
    <row r="712" spans="1:17" ht="15.75" customHeight="1" x14ac:dyDescent="0.25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</row>
    <row r="713" spans="1:17" ht="15.75" customHeight="1" x14ac:dyDescent="0.25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</row>
    <row r="714" spans="1:17" ht="15.75" customHeight="1" x14ac:dyDescent="0.25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</row>
    <row r="715" spans="1:17" ht="15.75" customHeight="1" x14ac:dyDescent="0.25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</row>
    <row r="716" spans="1:17" ht="15.75" customHeight="1" x14ac:dyDescent="0.25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</row>
    <row r="717" spans="1:17" ht="15.75" customHeight="1" x14ac:dyDescent="0.25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</row>
    <row r="718" spans="1:17" ht="15.75" customHeight="1" x14ac:dyDescent="0.25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</row>
    <row r="719" spans="1:17" ht="15.75" customHeight="1" x14ac:dyDescent="0.25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</row>
    <row r="720" spans="1:17" ht="15.75" customHeight="1" x14ac:dyDescent="0.25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</row>
    <row r="721" spans="1:17" ht="15.75" customHeight="1" x14ac:dyDescent="0.25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</row>
    <row r="722" spans="1:17" ht="15.75" customHeight="1" x14ac:dyDescent="0.25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</row>
    <row r="723" spans="1:17" ht="15.75" customHeight="1" x14ac:dyDescent="0.25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</row>
    <row r="724" spans="1:17" ht="15.75" customHeight="1" x14ac:dyDescent="0.25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</row>
    <row r="725" spans="1:17" ht="15.75" customHeight="1" x14ac:dyDescent="0.25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</row>
    <row r="726" spans="1:17" ht="15.75" customHeight="1" x14ac:dyDescent="0.25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</row>
    <row r="727" spans="1:17" ht="15.75" customHeight="1" x14ac:dyDescent="0.25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</row>
    <row r="728" spans="1:17" ht="15.75" customHeight="1" x14ac:dyDescent="0.25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</row>
    <row r="729" spans="1:17" ht="15.75" customHeight="1" x14ac:dyDescent="0.25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</row>
    <row r="730" spans="1:17" ht="15.75" customHeight="1" x14ac:dyDescent="0.25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</row>
    <row r="731" spans="1:17" ht="15.75" customHeight="1" x14ac:dyDescent="0.25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</row>
    <row r="732" spans="1:17" ht="15.75" customHeight="1" x14ac:dyDescent="0.25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</row>
    <row r="733" spans="1:17" ht="15.75" customHeight="1" x14ac:dyDescent="0.25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</row>
    <row r="734" spans="1:17" ht="15.75" customHeight="1" x14ac:dyDescent="0.25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</row>
    <row r="735" spans="1:17" ht="15.75" customHeight="1" x14ac:dyDescent="0.25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</row>
    <row r="736" spans="1:17" ht="15.75" customHeight="1" x14ac:dyDescent="0.25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</row>
    <row r="737" spans="1:17" ht="15.75" customHeight="1" x14ac:dyDescent="0.25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</row>
    <row r="738" spans="1:17" ht="15.75" customHeight="1" x14ac:dyDescent="0.25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</row>
    <row r="739" spans="1:17" ht="15.75" customHeight="1" x14ac:dyDescent="0.25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</row>
    <row r="740" spans="1:17" ht="15.75" customHeight="1" x14ac:dyDescent="0.25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</row>
    <row r="741" spans="1:17" ht="15.75" customHeight="1" x14ac:dyDescent="0.25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</row>
    <row r="742" spans="1:17" ht="15.75" customHeight="1" x14ac:dyDescent="0.25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</row>
    <row r="743" spans="1:17" ht="15.75" customHeight="1" x14ac:dyDescent="0.25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</row>
    <row r="744" spans="1:17" ht="15.75" customHeight="1" x14ac:dyDescent="0.25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</row>
    <row r="745" spans="1:17" ht="15.75" customHeight="1" x14ac:dyDescent="0.25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</row>
    <row r="746" spans="1:17" ht="15.75" customHeight="1" x14ac:dyDescent="0.25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</row>
    <row r="747" spans="1:17" ht="15.75" customHeight="1" x14ac:dyDescent="0.25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</row>
    <row r="748" spans="1:17" ht="15.75" customHeight="1" x14ac:dyDescent="0.25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</row>
    <row r="749" spans="1:17" ht="15.75" customHeight="1" x14ac:dyDescent="0.25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</row>
    <row r="750" spans="1:17" ht="15.75" customHeight="1" x14ac:dyDescent="0.25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</row>
    <row r="751" spans="1:17" ht="15.75" customHeight="1" x14ac:dyDescent="0.25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</row>
    <row r="752" spans="1:17" ht="15.75" customHeight="1" x14ac:dyDescent="0.25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</row>
    <row r="753" spans="1:17" ht="15.75" customHeight="1" x14ac:dyDescent="0.25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</row>
    <row r="754" spans="1:17" ht="15.75" customHeight="1" x14ac:dyDescent="0.25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</row>
    <row r="755" spans="1:17" ht="15.75" customHeight="1" x14ac:dyDescent="0.25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</row>
    <row r="756" spans="1:17" ht="15.75" customHeight="1" x14ac:dyDescent="0.25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</row>
    <row r="757" spans="1:17" ht="15.75" customHeight="1" x14ac:dyDescent="0.25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</row>
    <row r="758" spans="1:17" ht="15.75" customHeight="1" x14ac:dyDescent="0.25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</row>
    <row r="759" spans="1:17" ht="15.75" customHeight="1" x14ac:dyDescent="0.25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</row>
    <row r="760" spans="1:17" ht="15.75" customHeight="1" x14ac:dyDescent="0.25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</row>
    <row r="761" spans="1:17" ht="15.75" customHeight="1" x14ac:dyDescent="0.25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</row>
    <row r="762" spans="1:17" ht="15.75" customHeight="1" x14ac:dyDescent="0.25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</row>
    <row r="763" spans="1:17" ht="15.75" customHeight="1" x14ac:dyDescent="0.25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</row>
    <row r="764" spans="1:17" ht="15.75" customHeight="1" x14ac:dyDescent="0.25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</row>
    <row r="765" spans="1:17" ht="15.75" customHeight="1" x14ac:dyDescent="0.25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</row>
    <row r="766" spans="1:17" ht="15.75" customHeight="1" x14ac:dyDescent="0.25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</row>
    <row r="767" spans="1:17" ht="15.75" customHeight="1" x14ac:dyDescent="0.25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</row>
    <row r="768" spans="1:17" ht="15.75" customHeight="1" x14ac:dyDescent="0.25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</row>
    <row r="769" spans="1:17" ht="15.75" customHeight="1" x14ac:dyDescent="0.25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</row>
    <row r="770" spans="1:17" ht="15.75" customHeight="1" x14ac:dyDescent="0.25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</row>
    <row r="771" spans="1:17" ht="15.75" customHeight="1" x14ac:dyDescent="0.25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</row>
    <row r="772" spans="1:17" ht="15.75" customHeight="1" x14ac:dyDescent="0.25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</row>
    <row r="773" spans="1:17" ht="15.75" customHeight="1" x14ac:dyDescent="0.25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</row>
    <row r="774" spans="1:17" ht="15.75" customHeight="1" x14ac:dyDescent="0.25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</row>
    <row r="775" spans="1:17" ht="15.75" customHeight="1" x14ac:dyDescent="0.25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</row>
    <row r="776" spans="1:17" ht="15.75" customHeight="1" x14ac:dyDescent="0.25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</row>
    <row r="777" spans="1:17" ht="15.75" customHeight="1" x14ac:dyDescent="0.25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</row>
    <row r="778" spans="1:17" ht="15.75" customHeight="1" x14ac:dyDescent="0.25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</row>
    <row r="779" spans="1:17" ht="15.75" customHeight="1" x14ac:dyDescent="0.25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</row>
    <row r="780" spans="1:17" ht="15.75" customHeight="1" x14ac:dyDescent="0.25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</row>
    <row r="781" spans="1:17" ht="15.75" customHeight="1" x14ac:dyDescent="0.25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</row>
    <row r="782" spans="1:17" ht="15.75" customHeight="1" x14ac:dyDescent="0.25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</row>
    <row r="783" spans="1:17" ht="15.75" customHeight="1" x14ac:dyDescent="0.25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</row>
    <row r="784" spans="1:17" ht="15.75" customHeight="1" x14ac:dyDescent="0.25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</row>
    <row r="785" spans="1:17" ht="15.75" customHeight="1" x14ac:dyDescent="0.25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</row>
    <row r="786" spans="1:17" ht="15.75" customHeight="1" x14ac:dyDescent="0.25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</row>
    <row r="787" spans="1:17" ht="15.75" customHeight="1" x14ac:dyDescent="0.25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</row>
    <row r="788" spans="1:17" ht="15.75" customHeight="1" x14ac:dyDescent="0.25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</row>
    <row r="789" spans="1:17" ht="15.75" customHeight="1" x14ac:dyDescent="0.25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</row>
    <row r="790" spans="1:17" ht="15.75" customHeight="1" x14ac:dyDescent="0.25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</row>
    <row r="791" spans="1:17" ht="15.75" customHeight="1" x14ac:dyDescent="0.25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</row>
    <row r="792" spans="1:17" ht="15.75" customHeight="1" x14ac:dyDescent="0.25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</row>
    <row r="793" spans="1:17" ht="15.75" customHeight="1" x14ac:dyDescent="0.25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</row>
    <row r="794" spans="1:17" ht="15.75" customHeight="1" x14ac:dyDescent="0.25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</row>
    <row r="795" spans="1:17" ht="15.75" customHeight="1" x14ac:dyDescent="0.25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</row>
    <row r="796" spans="1:17" ht="15.75" customHeight="1" x14ac:dyDescent="0.25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</row>
    <row r="797" spans="1:17" ht="15.75" customHeight="1" x14ac:dyDescent="0.25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</row>
    <row r="798" spans="1:17" ht="15.75" customHeight="1" x14ac:dyDescent="0.25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</row>
    <row r="799" spans="1:17" ht="15.75" customHeight="1" x14ac:dyDescent="0.25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</row>
    <row r="800" spans="1:17" ht="15.75" customHeight="1" x14ac:dyDescent="0.25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</row>
    <row r="801" spans="1:17" ht="15.75" customHeight="1" x14ac:dyDescent="0.25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</row>
    <row r="802" spans="1:17" ht="15.75" customHeight="1" x14ac:dyDescent="0.25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</row>
    <row r="803" spans="1:17" ht="15.75" customHeight="1" x14ac:dyDescent="0.25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</row>
    <row r="804" spans="1:17" ht="15.75" customHeight="1" x14ac:dyDescent="0.25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</row>
    <row r="805" spans="1:17" ht="15.75" customHeight="1" x14ac:dyDescent="0.25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</row>
    <row r="806" spans="1:17" ht="15.75" customHeight="1" x14ac:dyDescent="0.25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</row>
    <row r="807" spans="1:17" ht="15.75" customHeight="1" x14ac:dyDescent="0.25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</row>
    <row r="808" spans="1:17" ht="15.75" customHeight="1" x14ac:dyDescent="0.25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</row>
    <row r="809" spans="1:17" ht="15.75" customHeight="1" x14ac:dyDescent="0.25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</row>
    <row r="810" spans="1:17" ht="15.75" customHeight="1" x14ac:dyDescent="0.25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</row>
    <row r="811" spans="1:17" ht="15.75" customHeight="1" x14ac:dyDescent="0.25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</row>
    <row r="812" spans="1:17" ht="15.75" customHeight="1" x14ac:dyDescent="0.25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</row>
    <row r="813" spans="1:17" ht="15.75" customHeight="1" x14ac:dyDescent="0.25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</row>
    <row r="814" spans="1:17" ht="15.75" customHeight="1" x14ac:dyDescent="0.25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</row>
    <row r="815" spans="1:17" ht="15.75" customHeight="1" x14ac:dyDescent="0.25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</row>
    <row r="816" spans="1:17" ht="15.75" customHeight="1" x14ac:dyDescent="0.25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</row>
    <row r="817" spans="1:17" ht="15.75" customHeight="1" x14ac:dyDescent="0.25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</row>
    <row r="818" spans="1:17" ht="15.75" customHeight="1" x14ac:dyDescent="0.25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</row>
    <row r="819" spans="1:17" ht="15.75" customHeight="1" x14ac:dyDescent="0.25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</row>
    <row r="820" spans="1:17" ht="15.75" customHeight="1" x14ac:dyDescent="0.25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</row>
    <row r="821" spans="1:17" ht="15.75" customHeight="1" x14ac:dyDescent="0.25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</row>
    <row r="822" spans="1:17" ht="15.75" customHeight="1" x14ac:dyDescent="0.25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</row>
    <row r="823" spans="1:17" ht="15.75" customHeight="1" x14ac:dyDescent="0.25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</row>
    <row r="824" spans="1:17" ht="15.75" customHeight="1" x14ac:dyDescent="0.25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</row>
    <row r="825" spans="1:17" ht="15.75" customHeight="1" x14ac:dyDescent="0.25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</row>
    <row r="826" spans="1:17" ht="15.75" customHeight="1" x14ac:dyDescent="0.25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</row>
    <row r="827" spans="1:17" ht="15.75" customHeight="1" x14ac:dyDescent="0.25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</row>
    <row r="828" spans="1:17" ht="15.75" customHeight="1" x14ac:dyDescent="0.25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</row>
    <row r="829" spans="1:17" ht="15.75" customHeight="1" x14ac:dyDescent="0.25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</row>
    <row r="830" spans="1:17" ht="15.75" customHeight="1" x14ac:dyDescent="0.25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</row>
    <row r="831" spans="1:17" ht="15.75" customHeight="1" x14ac:dyDescent="0.25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</row>
    <row r="832" spans="1:17" ht="15.75" customHeight="1" x14ac:dyDescent="0.25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</row>
    <row r="833" spans="1:17" ht="15.75" customHeight="1" x14ac:dyDescent="0.25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</row>
    <row r="834" spans="1:17" ht="15.75" customHeight="1" x14ac:dyDescent="0.25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</row>
    <row r="835" spans="1:17" ht="15.75" customHeight="1" x14ac:dyDescent="0.25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</row>
    <row r="836" spans="1:17" ht="15.75" customHeight="1" x14ac:dyDescent="0.25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</row>
    <row r="837" spans="1:17" ht="15.75" customHeight="1" x14ac:dyDescent="0.25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</row>
    <row r="838" spans="1:17" ht="15.75" customHeight="1" x14ac:dyDescent="0.25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</row>
    <row r="839" spans="1:17" ht="15.75" customHeight="1" x14ac:dyDescent="0.25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</row>
    <row r="840" spans="1:17" ht="15.75" customHeight="1" x14ac:dyDescent="0.25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</row>
    <row r="841" spans="1:17" ht="15.75" customHeight="1" x14ac:dyDescent="0.25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</row>
    <row r="842" spans="1:17" ht="15.75" customHeight="1" x14ac:dyDescent="0.25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</row>
    <row r="843" spans="1:17" ht="15.75" customHeight="1" x14ac:dyDescent="0.25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</row>
    <row r="844" spans="1:17" ht="15.75" customHeight="1" x14ac:dyDescent="0.25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</row>
    <row r="845" spans="1:17" ht="15.75" customHeight="1" x14ac:dyDescent="0.25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</row>
    <row r="846" spans="1:17" ht="15.75" customHeight="1" x14ac:dyDescent="0.25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</row>
    <row r="847" spans="1:17" ht="15.75" customHeight="1" x14ac:dyDescent="0.25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</row>
    <row r="848" spans="1:17" ht="15.75" customHeight="1" x14ac:dyDescent="0.25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</row>
    <row r="849" spans="1:17" ht="15.75" customHeight="1" x14ac:dyDescent="0.25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</row>
    <row r="850" spans="1:17" ht="15.75" customHeight="1" x14ac:dyDescent="0.25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</row>
    <row r="851" spans="1:17" ht="15.75" customHeight="1" x14ac:dyDescent="0.25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</row>
    <row r="852" spans="1:17" ht="15.75" customHeight="1" x14ac:dyDescent="0.25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</row>
    <row r="853" spans="1:17" ht="15.75" customHeight="1" x14ac:dyDescent="0.25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</row>
    <row r="854" spans="1:17" ht="15.75" customHeight="1" x14ac:dyDescent="0.25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</row>
    <row r="855" spans="1:17" ht="15.75" customHeight="1" x14ac:dyDescent="0.25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</row>
    <row r="856" spans="1:17" ht="15.75" customHeight="1" x14ac:dyDescent="0.25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</row>
    <row r="857" spans="1:17" ht="15.75" customHeight="1" x14ac:dyDescent="0.25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</row>
    <row r="858" spans="1:17" ht="15.75" customHeight="1" x14ac:dyDescent="0.25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</row>
    <row r="859" spans="1:17" ht="15.75" customHeight="1" x14ac:dyDescent="0.25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</row>
    <row r="860" spans="1:17" ht="15.75" customHeight="1" x14ac:dyDescent="0.25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</row>
    <row r="861" spans="1:17" ht="15.75" customHeight="1" x14ac:dyDescent="0.25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</row>
    <row r="862" spans="1:17" ht="15.75" customHeight="1" x14ac:dyDescent="0.25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</row>
    <row r="863" spans="1:17" ht="15.75" customHeight="1" x14ac:dyDescent="0.25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</row>
    <row r="864" spans="1:17" ht="15.75" customHeight="1" x14ac:dyDescent="0.25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</row>
    <row r="865" spans="1:17" ht="15.75" customHeight="1" x14ac:dyDescent="0.25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</row>
    <row r="866" spans="1:17" ht="15.75" customHeight="1" x14ac:dyDescent="0.25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</row>
    <row r="867" spans="1:17" ht="15.75" customHeight="1" x14ac:dyDescent="0.25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</row>
    <row r="868" spans="1:17" ht="15.75" customHeight="1" x14ac:dyDescent="0.25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</row>
    <row r="869" spans="1:17" ht="15.75" customHeight="1" x14ac:dyDescent="0.25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</row>
    <row r="870" spans="1:17" ht="15.75" customHeight="1" x14ac:dyDescent="0.25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</row>
    <row r="871" spans="1:17" ht="15" customHeight="1" x14ac:dyDescent="0.25">
      <c r="A871" s="157"/>
      <c r="B871" s="157"/>
      <c r="C871" s="157"/>
      <c r="D871" s="157"/>
      <c r="E871" s="157"/>
      <c r="F871" s="157"/>
      <c r="G871" s="157"/>
      <c r="H871" s="157"/>
    </row>
    <row r="872" spans="1:17" ht="15" customHeight="1" x14ac:dyDescent="0.25">
      <c r="A872" s="157"/>
      <c r="B872" s="157"/>
      <c r="C872" s="157"/>
      <c r="D872" s="157"/>
      <c r="E872" s="157"/>
      <c r="F872" s="157"/>
      <c r="G872" s="157"/>
      <c r="H872" s="157"/>
    </row>
    <row r="873" spans="1:17" ht="15" customHeight="1" x14ac:dyDescent="0.25">
      <c r="A873" s="157"/>
      <c r="B873" s="157"/>
      <c r="C873" s="157"/>
      <c r="D873" s="157"/>
      <c r="E873" s="157"/>
      <c r="F873" s="157"/>
      <c r="G873" s="157"/>
      <c r="H873" s="157"/>
    </row>
    <row r="874" spans="1:17" ht="15" customHeight="1" x14ac:dyDescent="0.25">
      <c r="A874" s="157"/>
      <c r="B874" s="157"/>
      <c r="C874" s="157"/>
      <c r="D874" s="157"/>
      <c r="E874" s="157"/>
      <c r="F874" s="157"/>
      <c r="G874" s="157"/>
      <c r="H874" s="157"/>
    </row>
    <row r="875" spans="1:17" ht="15" customHeight="1" x14ac:dyDescent="0.25">
      <c r="A875" s="157"/>
      <c r="B875" s="157"/>
      <c r="C875" s="157"/>
      <c r="D875" s="157"/>
      <c r="E875" s="157"/>
      <c r="F875" s="157"/>
      <c r="G875" s="157"/>
      <c r="H875" s="157"/>
    </row>
    <row r="876" spans="1:17" ht="15" customHeight="1" x14ac:dyDescent="0.25">
      <c r="A876" s="157"/>
      <c r="B876" s="157"/>
      <c r="C876" s="157"/>
      <c r="D876" s="157"/>
      <c r="E876" s="157"/>
      <c r="F876" s="157"/>
      <c r="G876" s="157"/>
      <c r="H876" s="157"/>
    </row>
    <row r="877" spans="1:17" ht="15" customHeight="1" x14ac:dyDescent="0.25">
      <c r="A877" s="157"/>
      <c r="B877" s="157"/>
      <c r="C877" s="157"/>
      <c r="D877" s="157"/>
      <c r="E877" s="157"/>
      <c r="F877" s="157"/>
      <c r="G877" s="157"/>
      <c r="H877" s="157"/>
    </row>
    <row r="878" spans="1:17" ht="15" customHeight="1" x14ac:dyDescent="0.25">
      <c r="A878" s="157"/>
      <c r="B878" s="157"/>
      <c r="C878" s="157"/>
      <c r="D878" s="157"/>
      <c r="E878" s="157"/>
      <c r="F878" s="157"/>
      <c r="G878" s="157"/>
      <c r="H878" s="157"/>
    </row>
    <row r="879" spans="1:17" ht="15" customHeight="1" x14ac:dyDescent="0.25">
      <c r="A879" s="157"/>
      <c r="B879" s="157"/>
      <c r="C879" s="157"/>
      <c r="D879" s="157"/>
      <c r="E879" s="157"/>
      <c r="F879" s="157"/>
      <c r="G879" s="157"/>
      <c r="H879" s="157"/>
    </row>
  </sheetData>
  <mergeCells count="11">
    <mergeCell ref="A2:H3"/>
    <mergeCell ref="A5:H5"/>
    <mergeCell ref="A7:H7"/>
    <mergeCell ref="F9:H9"/>
    <mergeCell ref="B31:C31"/>
    <mergeCell ref="B23:E23"/>
    <mergeCell ref="B30:C30"/>
    <mergeCell ref="C27:C28"/>
    <mergeCell ref="A11:H11"/>
    <mergeCell ref="B15:E15"/>
    <mergeCell ref="C19:C20"/>
  </mergeCells>
  <pageMargins left="0" right="0" top="0" bottom="0" header="0" footer="0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10</vt:i4>
      </vt:variant>
    </vt:vector>
  </HeadingPairs>
  <TitlesOfParts>
    <vt:vector size="17" baseType="lpstr">
      <vt:lpstr>Memória de Cálculo</vt:lpstr>
      <vt:lpstr>MEMORIA PAVIMENTAÇAO</vt:lpstr>
      <vt:lpstr>BM 11 do Contrato</vt:lpstr>
      <vt:lpstr>BM 05 do Aditivo</vt:lpstr>
      <vt:lpstr>MOVIMENTAÇÃO DE TERRA</vt:lpstr>
      <vt:lpstr>AQUISIÇÃO DE BGS</vt:lpstr>
      <vt:lpstr> DRENAGEM</vt:lpstr>
      <vt:lpstr>' DRENAGEM'!Area_de_impressao</vt:lpstr>
      <vt:lpstr>'AQUISIÇÃO DE BGS'!Area_de_impressao</vt:lpstr>
      <vt:lpstr>'BM 05 do Aditivo'!Area_de_impressao</vt:lpstr>
      <vt:lpstr>'BM 11 do Contrato'!Area_de_impressao</vt:lpstr>
      <vt:lpstr>'Memória de Cálculo'!Area_de_impressao</vt:lpstr>
      <vt:lpstr>'MEMORIA PAVIMENTAÇAO'!Area_de_impressao</vt:lpstr>
      <vt:lpstr>'MOVIMENTAÇÃO DE TERRA'!Area_de_impressao</vt:lpstr>
      <vt:lpstr>'BM 05 do Aditivo'!Titulos_de_impressao</vt:lpstr>
      <vt:lpstr>'BM 11 do Contrato'!Titulos_de_impressao</vt:lpstr>
      <vt:lpstr>'Memória de Cálculo'!Titulos_de_impressao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Leone Rafael</dc:creator>
  <cp:lastModifiedBy>Lana Lais Pereira Cruz</cp:lastModifiedBy>
  <cp:lastPrinted>2025-01-13T13:56:19Z</cp:lastPrinted>
  <dcterms:created xsi:type="dcterms:W3CDTF">2023-02-08T12:25:36Z</dcterms:created>
  <dcterms:modified xsi:type="dcterms:W3CDTF">2025-03-21T14:17:22Z</dcterms:modified>
</cp:coreProperties>
</file>